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workbookProtection workbookPassword="E706" lockStructure="1"/>
  <bookViews>
    <workbookView xWindow="420" yWindow="1425" windowWidth="20730" windowHeight="11760"/>
  </bookViews>
  <sheets>
    <sheet name="Calculations" sheetId="1" r:id="rId1"/>
    <sheet name="Hardware" sheetId="3" r:id="rId2"/>
    <sheet name="Configuration" sheetId="4" r:id="rId3"/>
    <sheet name="Particle" sheetId="5" r:id="rId4"/>
    <sheet name="Attenuation" sheetId="2" r:id="rId5"/>
    <sheet name="Phased-Array Radar" sheetId="6" r:id="rId6"/>
    <sheet name="Imaging Radar" sheetId="8" r:id="rId7"/>
  </sheets>
  <calcPr calcId="145621"/>
</workbook>
</file>

<file path=xl/calcChain.xml><?xml version="1.0" encoding="utf-8"?>
<calcChain xmlns="http://schemas.openxmlformats.org/spreadsheetml/2006/main">
  <c r="D10" i="8" l="1"/>
  <c r="B36" i="8"/>
  <c r="E35" i="8"/>
  <c r="B34" i="8"/>
  <c r="E33" i="8"/>
  <c r="E32" i="8"/>
  <c r="D32" i="8"/>
  <c r="E31" i="8"/>
  <c r="D31" i="8"/>
  <c r="B31" i="8"/>
  <c r="E29" i="8"/>
  <c r="B29" i="8"/>
  <c r="E28" i="8"/>
  <c r="B28" i="8"/>
  <c r="D27" i="8"/>
  <c r="B27" i="8"/>
  <c r="E26" i="8"/>
  <c r="D26" i="8"/>
  <c r="B26" i="8"/>
  <c r="E25" i="8"/>
  <c r="D25" i="8"/>
  <c r="B25" i="8"/>
  <c r="B24" i="8"/>
  <c r="E23" i="8"/>
  <c r="B23" i="8"/>
  <c r="E22" i="8"/>
  <c r="B22" i="8"/>
  <c r="B21" i="8"/>
  <c r="E20" i="8"/>
  <c r="D20" i="8"/>
  <c r="B20" i="8"/>
  <c r="D19" i="8"/>
  <c r="B19" i="8"/>
  <c r="E18" i="8"/>
  <c r="D18" i="8"/>
  <c r="B18" i="8"/>
  <c r="E17" i="8"/>
  <c r="D17" i="8"/>
  <c r="B17" i="8"/>
  <c r="E16" i="8"/>
  <c r="D16" i="8"/>
  <c r="B16" i="8"/>
  <c r="B15" i="8"/>
  <c r="D13" i="8"/>
  <c r="D8" i="8"/>
  <c r="D17" i="6"/>
  <c r="D14" i="6"/>
  <c r="D7" i="6" l="1"/>
  <c r="B40" i="6" l="1"/>
  <c r="E39" i="6"/>
  <c r="D23" i="6"/>
  <c r="B38" i="6"/>
  <c r="E37" i="6"/>
  <c r="E36" i="6" l="1"/>
  <c r="D36" i="6"/>
  <c r="E35" i="6"/>
  <c r="D35" i="6"/>
  <c r="B35" i="6"/>
  <c r="B19" i="6"/>
  <c r="B25" i="6"/>
  <c r="B28" i="6"/>
  <c r="E33" i="6"/>
  <c r="B33" i="6"/>
  <c r="B32" i="6"/>
  <c r="B26" i="6"/>
  <c r="E32" i="6"/>
  <c r="E30" i="6"/>
  <c r="E29" i="6"/>
  <c r="D31" i="6"/>
  <c r="D30" i="6"/>
  <c r="D29" i="6"/>
  <c r="B31" i="6"/>
  <c r="B30" i="6"/>
  <c r="B29" i="6"/>
  <c r="B27" i="6"/>
  <c r="E27" i="6"/>
  <c r="E26" i="6"/>
  <c r="E24" i="6"/>
  <c r="E22" i="6"/>
  <c r="E21" i="6"/>
  <c r="E20" i="6"/>
  <c r="D24" i="6"/>
  <c r="D22" i="6"/>
  <c r="D21" i="6"/>
  <c r="D20" i="6"/>
  <c r="B24" i="6"/>
  <c r="B23" i="6"/>
  <c r="B22" i="6"/>
  <c r="B21" i="6"/>
  <c r="B20" i="6"/>
  <c r="D11" i="6"/>
  <c r="D9" i="6"/>
  <c r="B23" i="1" l="1"/>
  <c r="E22" i="1"/>
  <c r="B21" i="1"/>
  <c r="D7" i="5"/>
  <c r="D12" i="5" s="1"/>
  <c r="D6" i="5"/>
  <c r="D11" i="5"/>
  <c r="D13" i="5"/>
  <c r="D20" i="4"/>
  <c r="D23" i="4" s="1"/>
  <c r="D11" i="4"/>
  <c r="D13" i="4"/>
  <c r="D16" i="4"/>
  <c r="D12" i="4"/>
  <c r="D15" i="4"/>
  <c r="D14" i="4"/>
  <c r="D8" i="3"/>
  <c r="D17" i="3" s="1"/>
  <c r="D24" i="3" s="1"/>
  <c r="D6" i="3"/>
  <c r="D8" i="6" l="1"/>
  <c r="E38" i="6"/>
  <c r="E34" i="8"/>
  <c r="B37" i="6"/>
  <c r="B33" i="8"/>
  <c r="B39" i="6"/>
  <c r="B35" i="8"/>
  <c r="D16" i="3"/>
  <c r="D23" i="3" s="1"/>
  <c r="D17" i="1" s="1"/>
  <c r="D18" i="3"/>
  <c r="D25" i="3" s="1"/>
  <c r="D12" i="1" s="1"/>
  <c r="D22" i="8" s="1"/>
  <c r="D23" i="8" s="1"/>
  <c r="D27" i="4"/>
  <c r="D30" i="4" s="1"/>
  <c r="D31" i="4" s="1"/>
  <c r="D32" i="4" s="1"/>
  <c r="D35" i="5"/>
  <c r="E35" i="5" s="1"/>
  <c r="D34" i="5"/>
  <c r="E34" i="5" s="1"/>
  <c r="D25" i="5"/>
  <c r="E25" i="5" s="1"/>
  <c r="D21" i="5"/>
  <c r="E21" i="5" s="1"/>
  <c r="D36" i="5"/>
  <c r="E36" i="5" s="1"/>
  <c r="D32" i="5"/>
  <c r="E32" i="5" s="1"/>
  <c r="D30" i="5"/>
  <c r="E30" i="5" s="1"/>
  <c r="D28" i="5"/>
  <c r="E28" i="5" s="1"/>
  <c r="D26" i="5"/>
  <c r="E26" i="5" s="1"/>
  <c r="D24" i="5"/>
  <c r="E24" i="5" s="1"/>
  <c r="D22" i="5"/>
  <c r="E22" i="5" s="1"/>
  <c r="D20" i="5"/>
  <c r="E20" i="5" s="1"/>
  <c r="D18" i="5"/>
  <c r="E18" i="5" s="1"/>
  <c r="D31" i="5"/>
  <c r="E31" i="5" s="1"/>
  <c r="D29" i="5"/>
  <c r="E29" i="5" s="1"/>
  <c r="D27" i="5"/>
  <c r="E27" i="5" s="1"/>
  <c r="D23" i="5"/>
  <c r="E23" i="5" s="1"/>
  <c r="D19" i="5"/>
  <c r="E19" i="5" s="1"/>
  <c r="D33" i="5"/>
  <c r="E33" i="5" s="1"/>
  <c r="D32" i="6" l="1"/>
  <c r="D33" i="6" s="1"/>
  <c r="D28" i="8"/>
  <c r="D29" i="8" s="1"/>
  <c r="D26" i="6"/>
  <c r="D27" i="6" s="1"/>
  <c r="D38" i="5"/>
  <c r="D39" i="5" s="1"/>
  <c r="D14" i="1" s="1"/>
  <c r="E9" i="1"/>
  <c r="E23" i="6" l="1"/>
  <c r="E19" i="8"/>
  <c r="C3" i="2"/>
  <c r="C6" i="2"/>
  <c r="B109" i="2" s="1"/>
  <c r="C5" i="2"/>
  <c r="C4" i="2"/>
  <c r="C2" i="2"/>
  <c r="B11" i="2" l="1"/>
  <c r="C11" i="2" s="1"/>
  <c r="D11" i="2" s="1"/>
  <c r="B29" i="2"/>
  <c r="B19" i="2"/>
  <c r="C19" i="2" s="1"/>
  <c r="B60" i="2"/>
  <c r="C60" i="2" s="1"/>
  <c r="B25" i="2"/>
  <c r="C25" i="2" s="1"/>
  <c r="D25" i="2" s="1"/>
  <c r="B43" i="2"/>
  <c r="C43" i="2" s="1"/>
  <c r="B81" i="2"/>
  <c r="C81" i="2" s="1"/>
  <c r="B36" i="2"/>
  <c r="C36" i="2" s="1"/>
  <c r="D36" i="2" s="1"/>
  <c r="B48" i="2"/>
  <c r="C48" i="2" s="1"/>
  <c r="D48" i="2" s="1"/>
  <c r="B73" i="2"/>
  <c r="C73" i="2" s="1"/>
  <c r="B94" i="2"/>
  <c r="C94" i="2" s="1"/>
  <c r="D94" i="2" s="1"/>
  <c r="B15" i="2"/>
  <c r="C15" i="2" s="1"/>
  <c r="D15" i="2" s="1"/>
  <c r="B20" i="2"/>
  <c r="C20" i="2" s="1"/>
  <c r="D20" i="2" s="1"/>
  <c r="B27" i="2"/>
  <c r="C27" i="2" s="1"/>
  <c r="B35" i="2"/>
  <c r="C35" i="2" s="1"/>
  <c r="D35" i="2" s="1"/>
  <c r="B40" i="2"/>
  <c r="C40" i="2" s="1"/>
  <c r="D40" i="2" s="1"/>
  <c r="B47" i="2"/>
  <c r="C47" i="2" s="1"/>
  <c r="D47" i="2" s="1"/>
  <c r="B54" i="2"/>
  <c r="C54" i="2" s="1"/>
  <c r="D54" i="2" s="1"/>
  <c r="B62" i="2"/>
  <c r="C62" i="2" s="1"/>
  <c r="D62" i="2" s="1"/>
  <c r="B75" i="2"/>
  <c r="C75" i="2" s="1"/>
  <c r="B88" i="2"/>
  <c r="C88" i="2" s="1"/>
  <c r="D88" i="2" s="1"/>
  <c r="B98" i="2"/>
  <c r="C98" i="2" s="1"/>
  <c r="D98" i="2" s="1"/>
  <c r="B13" i="2"/>
  <c r="C13" i="2" s="1"/>
  <c r="B21" i="2"/>
  <c r="C21" i="2" s="1"/>
  <c r="B32" i="2"/>
  <c r="C32" i="2" s="1"/>
  <c r="B41" i="2"/>
  <c r="C41" i="2" s="1"/>
  <c r="D41" i="2" s="1"/>
  <c r="B51" i="2"/>
  <c r="C51" i="2" s="1"/>
  <c r="D51" i="2" s="1"/>
  <c r="B70" i="2"/>
  <c r="C70" i="2" s="1"/>
  <c r="B83" i="2"/>
  <c r="C83" i="2" s="1"/>
  <c r="D83" i="2" s="1"/>
  <c r="B102" i="2"/>
  <c r="C102" i="2" s="1"/>
  <c r="B16" i="2"/>
  <c r="C16" i="2" s="1"/>
  <c r="B24" i="2"/>
  <c r="C24" i="2" s="1"/>
  <c r="B31" i="2"/>
  <c r="C31" i="2" s="1"/>
  <c r="B37" i="2"/>
  <c r="C37" i="2" s="1"/>
  <c r="B45" i="2"/>
  <c r="C45" i="2" s="1"/>
  <c r="D45" i="2" s="1"/>
  <c r="B52" i="2"/>
  <c r="C52" i="2" s="1"/>
  <c r="D52" i="2" s="1"/>
  <c r="B66" i="2"/>
  <c r="C66" i="2" s="1"/>
  <c r="D66" i="2" s="1"/>
  <c r="B80" i="2"/>
  <c r="C80" i="2" s="1"/>
  <c r="B90" i="2"/>
  <c r="C90" i="2" s="1"/>
  <c r="D90" i="2" s="1"/>
  <c r="B104" i="2"/>
  <c r="C104" i="2" s="1"/>
  <c r="B12" i="2"/>
  <c r="C12" i="2" s="1"/>
  <c r="D12" i="2" s="1"/>
  <c r="B17" i="2"/>
  <c r="C17" i="2" s="1"/>
  <c r="B23" i="2"/>
  <c r="C23" i="2" s="1"/>
  <c r="B28" i="2"/>
  <c r="C28" i="2" s="1"/>
  <c r="D28" i="2" s="1"/>
  <c r="B33" i="2"/>
  <c r="C33" i="2" s="1"/>
  <c r="D33" i="2" s="1"/>
  <c r="B39" i="2"/>
  <c r="C39" i="2" s="1"/>
  <c r="D39" i="2" s="1"/>
  <c r="B44" i="2"/>
  <c r="C44" i="2" s="1"/>
  <c r="D44" i="2" s="1"/>
  <c r="B49" i="2"/>
  <c r="C49" i="2" s="1"/>
  <c r="D49" i="2" s="1"/>
  <c r="B58" i="2"/>
  <c r="C58" i="2" s="1"/>
  <c r="D58" i="2" s="1"/>
  <c r="B68" i="2"/>
  <c r="C68" i="2" s="1"/>
  <c r="D68" i="2" s="1"/>
  <c r="B76" i="2"/>
  <c r="C76" i="2" s="1"/>
  <c r="B86" i="2"/>
  <c r="C86" i="2" s="1"/>
  <c r="D86" i="2" s="1"/>
  <c r="B96" i="2"/>
  <c r="C96" i="2" s="1"/>
  <c r="D96" i="2" s="1"/>
  <c r="B106" i="2"/>
  <c r="C106" i="2" s="1"/>
  <c r="B10" i="2"/>
  <c r="C10" i="2" s="1"/>
  <c r="B14" i="2"/>
  <c r="C14" i="2" s="1"/>
  <c r="B18" i="2"/>
  <c r="C18" i="2" s="1"/>
  <c r="B22" i="2"/>
  <c r="C22" i="2" s="1"/>
  <c r="D22" i="2" s="1"/>
  <c r="B26" i="2"/>
  <c r="C26" i="2" s="1"/>
  <c r="B30" i="2"/>
  <c r="C30" i="2" s="1"/>
  <c r="B34" i="2"/>
  <c r="C34" i="2" s="1"/>
  <c r="D34" i="2" s="1"/>
  <c r="B38" i="2"/>
  <c r="C38" i="2" s="1"/>
  <c r="D38" i="2" s="1"/>
  <c r="B42" i="2"/>
  <c r="C42" i="2" s="1"/>
  <c r="B46" i="2"/>
  <c r="C46" i="2" s="1"/>
  <c r="B50" i="2"/>
  <c r="C50" i="2" s="1"/>
  <c r="B56" i="2"/>
  <c r="C56" i="2" s="1"/>
  <c r="D56" i="2" s="1"/>
  <c r="B64" i="2"/>
  <c r="C64" i="2" s="1"/>
  <c r="D64" i="2" s="1"/>
  <c r="B72" i="2"/>
  <c r="C72" i="2" s="1"/>
  <c r="B78" i="2"/>
  <c r="C78" i="2" s="1"/>
  <c r="B84" i="2"/>
  <c r="C84" i="2" s="1"/>
  <c r="D84" i="2" s="1"/>
  <c r="B92" i="2"/>
  <c r="C92" i="2" s="1"/>
  <c r="D92" i="2" s="1"/>
  <c r="B100" i="2"/>
  <c r="C100" i="2" s="1"/>
  <c r="D100" i="2" s="1"/>
  <c r="B110" i="2"/>
  <c r="C110" i="2" s="1"/>
  <c r="D110" i="2" s="1"/>
  <c r="C29" i="2"/>
  <c r="D29" i="2" s="1"/>
  <c r="C109" i="2"/>
  <c r="D109" i="2" s="1"/>
  <c r="B55" i="2"/>
  <c r="C55" i="2" s="1"/>
  <c r="D55" i="2" s="1"/>
  <c r="B59" i="2"/>
  <c r="C59" i="2" s="1"/>
  <c r="D59" i="2" s="1"/>
  <c r="B63" i="2"/>
  <c r="C63" i="2" s="1"/>
  <c r="D63" i="2" s="1"/>
  <c r="B67" i="2"/>
  <c r="C67" i="2" s="1"/>
  <c r="D67" i="2" s="1"/>
  <c r="B71" i="2"/>
  <c r="C71" i="2" s="1"/>
  <c r="B74" i="2"/>
  <c r="C74" i="2" s="1"/>
  <c r="B77" i="2"/>
  <c r="C77" i="2" s="1"/>
  <c r="B87" i="2"/>
  <c r="C87" i="2" s="1"/>
  <c r="B91" i="2"/>
  <c r="C91" i="2" s="1"/>
  <c r="B95" i="2"/>
  <c r="C95" i="2" s="1"/>
  <c r="D95" i="2" s="1"/>
  <c r="B99" i="2"/>
  <c r="C99" i="2" s="1"/>
  <c r="B103" i="2"/>
  <c r="C103" i="2" s="1"/>
  <c r="D103" i="2" s="1"/>
  <c r="B107" i="2"/>
  <c r="C107" i="2" s="1"/>
  <c r="D107" i="2" s="1"/>
  <c r="B108" i="2"/>
  <c r="C108" i="2" s="1"/>
  <c r="D108" i="2" s="1"/>
  <c r="B53" i="2"/>
  <c r="C53" i="2" s="1"/>
  <c r="D53" i="2" s="1"/>
  <c r="B57" i="2"/>
  <c r="C57" i="2" s="1"/>
  <c r="D57" i="2" s="1"/>
  <c r="B61" i="2"/>
  <c r="C61" i="2" s="1"/>
  <c r="D61" i="2" s="1"/>
  <c r="B65" i="2"/>
  <c r="C65" i="2" s="1"/>
  <c r="D65" i="2" s="1"/>
  <c r="B69" i="2"/>
  <c r="C69" i="2" s="1"/>
  <c r="D69" i="2" s="1"/>
  <c r="B79" i="2"/>
  <c r="C79" i="2" s="1"/>
  <c r="B82" i="2"/>
  <c r="C82" i="2" s="1"/>
  <c r="B85" i="2"/>
  <c r="C85" i="2" s="1"/>
  <c r="D85" i="2" s="1"/>
  <c r="B89" i="2"/>
  <c r="C89" i="2" s="1"/>
  <c r="B93" i="2"/>
  <c r="C93" i="2" s="1"/>
  <c r="D93" i="2" s="1"/>
  <c r="B97" i="2"/>
  <c r="C97" i="2" s="1"/>
  <c r="D97" i="2" s="1"/>
  <c r="B101" i="2"/>
  <c r="C101" i="2" s="1"/>
  <c r="D101" i="2" s="1"/>
  <c r="B105" i="2"/>
  <c r="C105" i="2" s="1"/>
  <c r="D105" i="2" l="1"/>
  <c r="F105" i="2" s="1"/>
  <c r="D89" i="2"/>
  <c r="F89" i="2" s="1"/>
  <c r="D82" i="2"/>
  <c r="F82" i="2" s="1"/>
  <c r="D99" i="2"/>
  <c r="F99" i="2" s="1"/>
  <c r="D91" i="2"/>
  <c r="F91" i="2" s="1"/>
  <c r="D77" i="2"/>
  <c r="F77" i="2" s="1"/>
  <c r="D71" i="2"/>
  <c r="F71" i="2" s="1"/>
  <c r="D72" i="2"/>
  <c r="F72" i="2" s="1"/>
  <c r="D46" i="2"/>
  <c r="F46" i="2" s="1"/>
  <c r="D30" i="2"/>
  <c r="F30" i="2" s="1"/>
  <c r="D14" i="2"/>
  <c r="F14" i="2" s="1"/>
  <c r="D106" i="2"/>
  <c r="F106" i="2" s="1"/>
  <c r="D17" i="2"/>
  <c r="F17" i="2" s="1"/>
  <c r="D104" i="2"/>
  <c r="F104" i="2" s="1"/>
  <c r="D80" i="2"/>
  <c r="F80" i="2" s="1"/>
  <c r="D37" i="2"/>
  <c r="F37" i="2" s="1"/>
  <c r="D24" i="2"/>
  <c r="F24" i="2" s="1"/>
  <c r="D102" i="2"/>
  <c r="F102" i="2" s="1"/>
  <c r="D70" i="2"/>
  <c r="F70" i="2" s="1"/>
  <c r="D21" i="2"/>
  <c r="F21" i="2" s="1"/>
  <c r="D75" i="2"/>
  <c r="F75" i="2" s="1"/>
  <c r="D27" i="2"/>
  <c r="F27" i="2" s="1"/>
  <c r="D73" i="2"/>
  <c r="F73" i="2" s="1"/>
  <c r="D43" i="2"/>
  <c r="F43" i="2" s="1"/>
  <c r="D60" i="2"/>
  <c r="F60" i="2" s="1"/>
  <c r="D79" i="2"/>
  <c r="F79" i="2" s="1"/>
  <c r="D87" i="2"/>
  <c r="F87" i="2" s="1"/>
  <c r="D74" i="2"/>
  <c r="F74" i="2" s="1"/>
  <c r="D78" i="2"/>
  <c r="F78" i="2" s="1"/>
  <c r="D50" i="2"/>
  <c r="F50" i="2" s="1"/>
  <c r="D42" i="2"/>
  <c r="F42" i="2" s="1"/>
  <c r="D26" i="2"/>
  <c r="F26" i="2" s="1"/>
  <c r="D18" i="2"/>
  <c r="F18" i="2" s="1"/>
  <c r="E10" i="2"/>
  <c r="D10" i="2"/>
  <c r="F10" i="2" s="1"/>
  <c r="D76" i="2"/>
  <c r="F76" i="2" s="1"/>
  <c r="D23" i="2"/>
  <c r="F23" i="2" s="1"/>
  <c r="D31" i="2"/>
  <c r="F31" i="2" s="1"/>
  <c r="D16" i="2"/>
  <c r="F16" i="2" s="1"/>
  <c r="D32" i="2"/>
  <c r="F32" i="2" s="1"/>
  <c r="D13" i="2"/>
  <c r="F13" i="2" s="1"/>
  <c r="D81" i="2"/>
  <c r="F81" i="2" s="1"/>
  <c r="D19" i="2"/>
  <c r="F19" i="2" s="1"/>
  <c r="F25" i="2"/>
  <c r="F55" i="2"/>
  <c r="F56" i="2"/>
  <c r="F97" i="2"/>
  <c r="F86" i="2"/>
  <c r="F69" i="2"/>
  <c r="F101" i="2"/>
  <c r="F84" i="2"/>
  <c r="F22" i="2"/>
  <c r="F28" i="2"/>
  <c r="F36" i="2"/>
  <c r="F15" i="2"/>
  <c r="F100" i="2"/>
  <c r="F52" i="2"/>
  <c r="F49" i="2"/>
  <c r="F53" i="2"/>
  <c r="F98" i="2"/>
  <c r="F62" i="2"/>
  <c r="F38" i="2"/>
  <c r="F92" i="2"/>
  <c r="F88" i="2"/>
  <c r="F107" i="2"/>
  <c r="F63" i="2"/>
  <c r="F40" i="2"/>
  <c r="F29" i="2"/>
  <c r="F68" i="2"/>
  <c r="F44" i="2"/>
  <c r="F90" i="2"/>
  <c r="F47" i="2"/>
  <c r="F35" i="2"/>
  <c r="F20" i="2"/>
  <c r="F94" i="2"/>
  <c r="F54" i="2"/>
  <c r="F34" i="2"/>
  <c r="F58" i="2"/>
  <c r="F83" i="2"/>
  <c r="F96" i="2"/>
  <c r="F33" i="2"/>
  <c r="F12" i="2"/>
  <c r="F66" i="2"/>
  <c r="F48" i="2"/>
  <c r="F65" i="2"/>
  <c r="F103" i="2"/>
  <c r="F95" i="2"/>
  <c r="F67" i="2"/>
  <c r="F59" i="2"/>
  <c r="F11" i="2"/>
  <c r="F64" i="2"/>
  <c r="F109" i="2"/>
  <c r="F51" i="2"/>
  <c r="F93" i="2"/>
  <c r="F108" i="2"/>
  <c r="F45" i="2"/>
  <c r="F39" i="2"/>
  <c r="F85" i="2"/>
  <c r="F41" i="2"/>
  <c r="F61" i="2"/>
  <c r="F57" i="2"/>
  <c r="F110" i="2"/>
  <c r="E11" i="2" l="1"/>
  <c r="H10" i="2"/>
  <c r="I10" i="2" s="1"/>
  <c r="J10" i="2" s="1"/>
  <c r="G10" i="2"/>
  <c r="K10" i="2" s="1"/>
  <c r="H11" i="2" l="1"/>
  <c r="I11" i="2" s="1"/>
  <c r="J11" i="2" s="1"/>
  <c r="E12" i="2"/>
  <c r="G11" i="2"/>
  <c r="L10" i="2"/>
  <c r="M10" i="2" s="1"/>
  <c r="L11" i="2" l="1"/>
  <c r="K11" i="2"/>
  <c r="E13" i="2"/>
  <c r="H12" i="2"/>
  <c r="I12" i="2" s="1"/>
  <c r="J12" i="2" s="1"/>
  <c r="G12" i="2"/>
  <c r="M11" i="2" l="1"/>
  <c r="L12" i="2"/>
  <c r="K12" i="2"/>
  <c r="E14" i="2"/>
  <c r="H13" i="2"/>
  <c r="I13" i="2" s="1"/>
  <c r="J13" i="2" s="1"/>
  <c r="G13" i="2"/>
  <c r="M12" i="2" l="1"/>
  <c r="L13" i="2"/>
  <c r="K13" i="2"/>
  <c r="E15" i="2"/>
  <c r="H14" i="2"/>
  <c r="I14" i="2" s="1"/>
  <c r="J14" i="2" s="1"/>
  <c r="G14" i="2"/>
  <c r="M13" i="2" l="1"/>
  <c r="L14" i="2"/>
  <c r="K14" i="2"/>
  <c r="E16" i="2"/>
  <c r="H15" i="2"/>
  <c r="I15" i="2" s="1"/>
  <c r="J15" i="2" s="1"/>
  <c r="G15" i="2"/>
  <c r="M14" i="2" l="1"/>
  <c r="L15" i="2"/>
  <c r="K15" i="2"/>
  <c r="E17" i="2"/>
  <c r="G16" i="2"/>
  <c r="K16" i="2" s="1"/>
  <c r="H16" i="2"/>
  <c r="I16" i="2" s="1"/>
  <c r="J16" i="2" s="1"/>
  <c r="M15" i="2" l="1"/>
  <c r="E18" i="2"/>
  <c r="H17" i="2"/>
  <c r="I17" i="2" s="1"/>
  <c r="J17" i="2" s="1"/>
  <c r="G17" i="2"/>
  <c r="L16" i="2"/>
  <c r="M16" i="2" s="1"/>
  <c r="K17" i="2" l="1"/>
  <c r="L17" i="2"/>
  <c r="E19" i="2"/>
  <c r="G18" i="2"/>
  <c r="K18" i="2" s="1"/>
  <c r="H18" i="2"/>
  <c r="I18" i="2" s="1"/>
  <c r="J18" i="2" s="1"/>
  <c r="M17" i="2" l="1"/>
  <c r="E20" i="2"/>
  <c r="H19" i="2"/>
  <c r="I19" i="2" s="1"/>
  <c r="J19" i="2" s="1"/>
  <c r="G19" i="2"/>
  <c r="K19" i="2" s="1"/>
  <c r="L18" i="2"/>
  <c r="M18" i="2" s="1"/>
  <c r="L19" i="2" l="1"/>
  <c r="M19" i="2" s="1"/>
  <c r="E21" i="2"/>
  <c r="G20" i="2"/>
  <c r="H20" i="2"/>
  <c r="I20" i="2" s="1"/>
  <c r="J20" i="2" s="1"/>
  <c r="L20" i="2" l="1"/>
  <c r="K20" i="2"/>
  <c r="E22" i="2"/>
  <c r="H21" i="2"/>
  <c r="I21" i="2" s="1"/>
  <c r="J21" i="2" s="1"/>
  <c r="G21" i="2"/>
  <c r="M20" i="2" l="1"/>
  <c r="L21" i="2"/>
  <c r="K21" i="2"/>
  <c r="E23" i="2"/>
  <c r="H22" i="2"/>
  <c r="I22" i="2" s="1"/>
  <c r="J22" i="2" s="1"/>
  <c r="G22" i="2"/>
  <c r="M21" i="2" l="1"/>
  <c r="K22" i="2"/>
  <c r="L22" i="2"/>
  <c r="E24" i="2"/>
  <c r="G23" i="2"/>
  <c r="H23" i="2"/>
  <c r="I23" i="2" s="1"/>
  <c r="J23" i="2" s="1"/>
  <c r="K23" i="2" l="1"/>
  <c r="L23" i="2"/>
  <c r="E25" i="2"/>
  <c r="H24" i="2"/>
  <c r="I24" i="2" s="1"/>
  <c r="J24" i="2" s="1"/>
  <c r="G24" i="2"/>
  <c r="M22" i="2"/>
  <c r="L24" i="2" l="1"/>
  <c r="K24" i="2"/>
  <c r="E26" i="2"/>
  <c r="G25" i="2"/>
  <c r="H25" i="2"/>
  <c r="I25" i="2" s="1"/>
  <c r="J25" i="2" s="1"/>
  <c r="M23" i="2"/>
  <c r="M24" i="2" l="1"/>
  <c r="E27" i="2"/>
  <c r="G26" i="2"/>
  <c r="H26" i="2"/>
  <c r="I26" i="2" s="1"/>
  <c r="J26" i="2" s="1"/>
  <c r="L25" i="2"/>
  <c r="K25" i="2"/>
  <c r="E28" i="2" l="1"/>
  <c r="G27" i="2"/>
  <c r="H27" i="2"/>
  <c r="I27" i="2" s="1"/>
  <c r="J27" i="2" s="1"/>
  <c r="M25" i="2"/>
  <c r="K26" i="2"/>
  <c r="L26" i="2"/>
  <c r="E29" i="2" l="1"/>
  <c r="H28" i="2"/>
  <c r="I28" i="2" s="1"/>
  <c r="J28" i="2" s="1"/>
  <c r="G28" i="2"/>
  <c r="M26" i="2"/>
  <c r="L27" i="2"/>
  <c r="K27" i="2"/>
  <c r="M27" i="2" l="1"/>
  <c r="L28" i="2"/>
  <c r="K28" i="2"/>
  <c r="E30" i="2"/>
  <c r="G29" i="2"/>
  <c r="H29" i="2"/>
  <c r="I29" i="2" s="1"/>
  <c r="J29" i="2" s="1"/>
  <c r="M28" i="2" l="1"/>
  <c r="L29" i="2"/>
  <c r="K29" i="2"/>
  <c r="E31" i="2"/>
  <c r="H30" i="2"/>
  <c r="I30" i="2" s="1"/>
  <c r="J30" i="2" s="1"/>
  <c r="G30" i="2"/>
  <c r="M29" i="2" l="1"/>
  <c r="K30" i="2"/>
  <c r="L30" i="2"/>
  <c r="E32" i="2"/>
  <c r="H31" i="2"/>
  <c r="I31" i="2" s="1"/>
  <c r="J31" i="2" s="1"/>
  <c r="G31" i="2"/>
  <c r="L31" i="2" l="1"/>
  <c r="K31" i="2"/>
  <c r="E33" i="2"/>
  <c r="H32" i="2"/>
  <c r="I32" i="2" s="1"/>
  <c r="J32" i="2" s="1"/>
  <c r="G32" i="2"/>
  <c r="M30" i="2"/>
  <c r="M31" i="2" l="1"/>
  <c r="K32" i="2"/>
  <c r="L32" i="2"/>
  <c r="E34" i="2"/>
  <c r="G33" i="2"/>
  <c r="H33" i="2"/>
  <c r="I33" i="2" s="1"/>
  <c r="J33" i="2" s="1"/>
  <c r="K33" i="2" l="1"/>
  <c r="L33" i="2"/>
  <c r="E35" i="2"/>
  <c r="H34" i="2"/>
  <c r="I34" i="2" s="1"/>
  <c r="J34" i="2" s="1"/>
  <c r="G34" i="2"/>
  <c r="M32" i="2"/>
  <c r="M33" i="2" l="1"/>
  <c r="K34" i="2"/>
  <c r="L34" i="2"/>
  <c r="E36" i="2"/>
  <c r="G35" i="2"/>
  <c r="H35" i="2"/>
  <c r="I35" i="2" s="1"/>
  <c r="J35" i="2" s="1"/>
  <c r="M34" i="2" l="1"/>
  <c r="L35" i="2"/>
  <c r="K35" i="2"/>
  <c r="E37" i="2"/>
  <c r="H36" i="2"/>
  <c r="I36" i="2" s="1"/>
  <c r="J36" i="2" s="1"/>
  <c r="G36" i="2"/>
  <c r="M35" i="2" l="1"/>
  <c r="L36" i="2"/>
  <c r="K36" i="2"/>
  <c r="E38" i="2"/>
  <c r="H37" i="2"/>
  <c r="I37" i="2" s="1"/>
  <c r="J37" i="2" s="1"/>
  <c r="G37" i="2"/>
  <c r="M36" i="2" l="1"/>
  <c r="K37" i="2"/>
  <c r="L37" i="2"/>
  <c r="E39" i="2"/>
  <c r="G38" i="2"/>
  <c r="H38" i="2"/>
  <c r="I38" i="2" s="1"/>
  <c r="J38" i="2" s="1"/>
  <c r="K38" i="2" l="1"/>
  <c r="L38" i="2"/>
  <c r="E40" i="2"/>
  <c r="G39" i="2"/>
  <c r="H39" i="2"/>
  <c r="I39" i="2" s="1"/>
  <c r="J39" i="2" s="1"/>
  <c r="M37" i="2"/>
  <c r="K39" i="2" l="1"/>
  <c r="L39" i="2"/>
  <c r="E41" i="2"/>
  <c r="G40" i="2"/>
  <c r="H40" i="2"/>
  <c r="I40" i="2" s="1"/>
  <c r="J40" i="2" s="1"/>
  <c r="M38" i="2"/>
  <c r="L40" i="2" l="1"/>
  <c r="K40" i="2"/>
  <c r="E42" i="2"/>
  <c r="H41" i="2"/>
  <c r="I41" i="2" s="1"/>
  <c r="J41" i="2" s="1"/>
  <c r="G41" i="2"/>
  <c r="M39" i="2"/>
  <c r="M40" i="2" l="1"/>
  <c r="K41" i="2"/>
  <c r="L41" i="2"/>
  <c r="E43" i="2"/>
  <c r="H42" i="2"/>
  <c r="I42" i="2" s="1"/>
  <c r="J42" i="2" s="1"/>
  <c r="G42" i="2"/>
  <c r="K42" i="2" l="1"/>
  <c r="L42" i="2"/>
  <c r="E44" i="2"/>
  <c r="G43" i="2"/>
  <c r="H43" i="2"/>
  <c r="I43" i="2" s="1"/>
  <c r="J43" i="2" s="1"/>
  <c r="M41" i="2"/>
  <c r="L43" i="2" l="1"/>
  <c r="K43" i="2"/>
  <c r="E45" i="2"/>
  <c r="G44" i="2"/>
  <c r="H44" i="2"/>
  <c r="I44" i="2" s="1"/>
  <c r="J44" i="2" s="1"/>
  <c r="M42" i="2"/>
  <c r="E46" i="2" l="1"/>
  <c r="G45" i="2"/>
  <c r="H45" i="2"/>
  <c r="I45" i="2" s="1"/>
  <c r="J45" i="2" s="1"/>
  <c r="M43" i="2"/>
  <c r="K44" i="2"/>
  <c r="L44" i="2"/>
  <c r="E47" i="2" l="1"/>
  <c r="H46" i="2"/>
  <c r="I46" i="2" s="1"/>
  <c r="J46" i="2" s="1"/>
  <c r="G46" i="2"/>
  <c r="M44" i="2"/>
  <c r="K45" i="2"/>
  <c r="L45" i="2"/>
  <c r="K46" i="2" l="1"/>
  <c r="L46" i="2"/>
  <c r="E48" i="2"/>
  <c r="G47" i="2"/>
  <c r="H47" i="2"/>
  <c r="I47" i="2" s="1"/>
  <c r="J47" i="2" s="1"/>
  <c r="M45" i="2"/>
  <c r="M46" i="2" l="1"/>
  <c r="K47" i="2"/>
  <c r="L47" i="2"/>
  <c r="E49" i="2"/>
  <c r="G48" i="2"/>
  <c r="H48" i="2"/>
  <c r="I48" i="2" s="1"/>
  <c r="J48" i="2" s="1"/>
  <c r="K48" i="2" l="1"/>
  <c r="L48" i="2"/>
  <c r="E50" i="2"/>
  <c r="G49" i="2"/>
  <c r="H49" i="2"/>
  <c r="I49" i="2" s="1"/>
  <c r="J49" i="2" s="1"/>
  <c r="M47" i="2"/>
  <c r="L49" i="2" l="1"/>
  <c r="K49" i="2"/>
  <c r="E51" i="2"/>
  <c r="H50" i="2"/>
  <c r="I50" i="2" s="1"/>
  <c r="J50" i="2" s="1"/>
  <c r="G50" i="2"/>
  <c r="M48" i="2"/>
  <c r="M49" i="2" l="1"/>
  <c r="K50" i="2"/>
  <c r="L50" i="2"/>
  <c r="E52" i="2"/>
  <c r="H51" i="2"/>
  <c r="I51" i="2" s="1"/>
  <c r="J51" i="2" s="1"/>
  <c r="G51" i="2"/>
  <c r="L51" i="2" l="1"/>
  <c r="K51" i="2"/>
  <c r="E53" i="2"/>
  <c r="H52" i="2"/>
  <c r="I52" i="2" s="1"/>
  <c r="J52" i="2" s="1"/>
  <c r="G52" i="2"/>
  <c r="M50" i="2"/>
  <c r="M51" i="2" l="1"/>
  <c r="L52" i="2"/>
  <c r="K52" i="2"/>
  <c r="E54" i="2"/>
  <c r="G53" i="2"/>
  <c r="H53" i="2"/>
  <c r="I53" i="2" s="1"/>
  <c r="J53" i="2" s="1"/>
  <c r="M52" i="2" l="1"/>
  <c r="E55" i="2"/>
  <c r="G54" i="2"/>
  <c r="H54" i="2"/>
  <c r="I54" i="2" s="1"/>
  <c r="J54" i="2" s="1"/>
  <c r="L53" i="2"/>
  <c r="K53" i="2"/>
  <c r="E56" i="2" l="1"/>
  <c r="G55" i="2"/>
  <c r="H55" i="2"/>
  <c r="I55" i="2" s="1"/>
  <c r="J55" i="2" s="1"/>
  <c r="M53" i="2"/>
  <c r="L54" i="2"/>
  <c r="K54" i="2"/>
  <c r="M54" i="2" l="1"/>
  <c r="E57" i="2"/>
  <c r="H56" i="2"/>
  <c r="I56" i="2" s="1"/>
  <c r="J56" i="2" s="1"/>
  <c r="G56" i="2"/>
  <c r="K55" i="2"/>
  <c r="L55" i="2"/>
  <c r="M55" i="2" l="1"/>
  <c r="L56" i="2"/>
  <c r="K56" i="2"/>
  <c r="E58" i="2"/>
  <c r="H57" i="2"/>
  <c r="I57" i="2" s="1"/>
  <c r="J57" i="2" s="1"/>
  <c r="G57" i="2"/>
  <c r="M56" i="2" l="1"/>
  <c r="K57" i="2"/>
  <c r="L57" i="2"/>
  <c r="E59" i="2"/>
  <c r="G58" i="2"/>
  <c r="H58" i="2"/>
  <c r="I58" i="2" s="1"/>
  <c r="J58" i="2" s="1"/>
  <c r="K58" i="2" l="1"/>
  <c r="L58" i="2"/>
  <c r="E60" i="2"/>
  <c r="H59" i="2"/>
  <c r="I59" i="2" s="1"/>
  <c r="J59" i="2" s="1"/>
  <c r="G59" i="2"/>
  <c r="M57" i="2"/>
  <c r="L59" i="2" l="1"/>
  <c r="K59" i="2"/>
  <c r="E61" i="2"/>
  <c r="H60" i="2"/>
  <c r="I60" i="2" s="1"/>
  <c r="J60" i="2" s="1"/>
  <c r="G60" i="2"/>
  <c r="M58" i="2"/>
  <c r="M59" i="2" l="1"/>
  <c r="L60" i="2"/>
  <c r="K60" i="2"/>
  <c r="E62" i="2"/>
  <c r="G61" i="2"/>
  <c r="H61" i="2"/>
  <c r="I61" i="2" s="1"/>
  <c r="J61" i="2" s="1"/>
  <c r="M60" i="2" l="1"/>
  <c r="E63" i="2"/>
  <c r="H62" i="2"/>
  <c r="I62" i="2" s="1"/>
  <c r="J62" i="2" s="1"/>
  <c r="G62" i="2"/>
  <c r="L61" i="2"/>
  <c r="K61" i="2"/>
  <c r="L62" i="2" l="1"/>
  <c r="K62" i="2"/>
  <c r="E64" i="2"/>
  <c r="H63" i="2"/>
  <c r="I63" i="2" s="1"/>
  <c r="J63" i="2" s="1"/>
  <c r="G63" i="2"/>
  <c r="M61" i="2"/>
  <c r="M62" i="2" l="1"/>
  <c r="L63" i="2"/>
  <c r="K63" i="2"/>
  <c r="E65" i="2"/>
  <c r="H64" i="2"/>
  <c r="I64" i="2" s="1"/>
  <c r="J64" i="2" s="1"/>
  <c r="G64" i="2"/>
  <c r="M63" i="2" l="1"/>
  <c r="K64" i="2"/>
  <c r="L64" i="2"/>
  <c r="E66" i="2"/>
  <c r="G65" i="2"/>
  <c r="H65" i="2"/>
  <c r="I65" i="2" s="1"/>
  <c r="J65" i="2" s="1"/>
  <c r="M64" i="2" l="1"/>
  <c r="L65" i="2"/>
  <c r="K65" i="2"/>
  <c r="E67" i="2"/>
  <c r="G66" i="2"/>
  <c r="H66" i="2"/>
  <c r="I66" i="2" s="1"/>
  <c r="J66" i="2" s="1"/>
  <c r="M65" i="2" l="1"/>
  <c r="E68" i="2"/>
  <c r="H67" i="2"/>
  <c r="I67" i="2" s="1"/>
  <c r="J67" i="2" s="1"/>
  <c r="G67" i="2"/>
  <c r="L66" i="2"/>
  <c r="K66" i="2"/>
  <c r="L67" i="2" l="1"/>
  <c r="K67" i="2"/>
  <c r="E69" i="2"/>
  <c r="G68" i="2"/>
  <c r="H68" i="2"/>
  <c r="I68" i="2" s="1"/>
  <c r="J68" i="2" s="1"/>
  <c r="M66" i="2"/>
  <c r="M67" i="2" l="1"/>
  <c r="E70" i="2"/>
  <c r="G69" i="2"/>
  <c r="H69" i="2"/>
  <c r="I69" i="2" s="1"/>
  <c r="J69" i="2" s="1"/>
  <c r="K68" i="2"/>
  <c r="L68" i="2"/>
  <c r="E71" i="2" l="1"/>
  <c r="H70" i="2"/>
  <c r="I70" i="2" s="1"/>
  <c r="J70" i="2" s="1"/>
  <c r="G70" i="2"/>
  <c r="M68" i="2"/>
  <c r="K69" i="2"/>
  <c r="L69" i="2"/>
  <c r="L70" i="2" l="1"/>
  <c r="K70" i="2"/>
  <c r="E72" i="2"/>
  <c r="G71" i="2"/>
  <c r="H71" i="2"/>
  <c r="I71" i="2" s="1"/>
  <c r="J71" i="2" s="1"/>
  <c r="M69" i="2"/>
  <c r="E73" i="2" l="1"/>
  <c r="H72" i="2"/>
  <c r="I72" i="2" s="1"/>
  <c r="J72" i="2" s="1"/>
  <c r="G72" i="2"/>
  <c r="M70" i="2"/>
  <c r="K71" i="2"/>
  <c r="L71" i="2"/>
  <c r="L72" i="2" l="1"/>
  <c r="K72" i="2"/>
  <c r="E74" i="2"/>
  <c r="H73" i="2"/>
  <c r="I73" i="2" s="1"/>
  <c r="J73" i="2" s="1"/>
  <c r="G73" i="2"/>
  <c r="M71" i="2"/>
  <c r="K73" i="2" l="1"/>
  <c r="L73" i="2"/>
  <c r="E75" i="2"/>
  <c r="H74" i="2"/>
  <c r="I74" i="2" s="1"/>
  <c r="J74" i="2" s="1"/>
  <c r="G74" i="2"/>
  <c r="M72" i="2"/>
  <c r="K74" i="2" l="1"/>
  <c r="L74" i="2"/>
  <c r="E76" i="2"/>
  <c r="H75" i="2"/>
  <c r="I75" i="2" s="1"/>
  <c r="J75" i="2" s="1"/>
  <c r="G75" i="2"/>
  <c r="M73" i="2"/>
  <c r="K75" i="2" l="1"/>
  <c r="L75" i="2"/>
  <c r="E77" i="2"/>
  <c r="G76" i="2"/>
  <c r="H76" i="2"/>
  <c r="I76" i="2" s="1"/>
  <c r="J76" i="2" s="1"/>
  <c r="M74" i="2"/>
  <c r="K76" i="2" l="1"/>
  <c r="L76" i="2"/>
  <c r="E78" i="2"/>
  <c r="G77" i="2"/>
  <c r="H77" i="2"/>
  <c r="I77" i="2" s="1"/>
  <c r="J77" i="2" s="1"/>
  <c r="M75" i="2"/>
  <c r="M76" i="2" l="1"/>
  <c r="K77" i="2"/>
  <c r="L77" i="2"/>
  <c r="E79" i="2"/>
  <c r="H78" i="2"/>
  <c r="I78" i="2" s="1"/>
  <c r="J78" i="2" s="1"/>
  <c r="G78" i="2"/>
  <c r="M77" i="2" l="1"/>
  <c r="L78" i="2"/>
  <c r="K78" i="2"/>
  <c r="E80" i="2"/>
  <c r="H79" i="2"/>
  <c r="I79" i="2" s="1"/>
  <c r="J79" i="2" s="1"/>
  <c r="G79" i="2"/>
  <c r="K79" i="2" l="1"/>
  <c r="L79" i="2"/>
  <c r="E81" i="2"/>
  <c r="G80" i="2"/>
  <c r="H80" i="2"/>
  <c r="I80" i="2" s="1"/>
  <c r="J80" i="2" s="1"/>
  <c r="M78" i="2"/>
  <c r="K80" i="2" l="1"/>
  <c r="L80" i="2"/>
  <c r="E82" i="2"/>
  <c r="G81" i="2"/>
  <c r="H81" i="2"/>
  <c r="I81" i="2" s="1"/>
  <c r="J81" i="2" s="1"/>
  <c r="M79" i="2"/>
  <c r="M80" i="2" l="1"/>
  <c r="K81" i="2"/>
  <c r="L81" i="2"/>
  <c r="E83" i="2"/>
  <c r="H82" i="2"/>
  <c r="I82" i="2" s="1"/>
  <c r="J82" i="2" s="1"/>
  <c r="G82" i="2"/>
  <c r="L82" i="2" l="1"/>
  <c r="K82" i="2"/>
  <c r="E84" i="2"/>
  <c r="H83" i="2"/>
  <c r="I83" i="2" s="1"/>
  <c r="J83" i="2" s="1"/>
  <c r="G83" i="2"/>
  <c r="M81" i="2"/>
  <c r="M82" i="2" l="1"/>
  <c r="K83" i="2"/>
  <c r="L83" i="2"/>
  <c r="E85" i="2"/>
  <c r="G84" i="2"/>
  <c r="H84" i="2"/>
  <c r="I84" i="2" s="1"/>
  <c r="J84" i="2" s="1"/>
  <c r="L84" i="2" l="1"/>
  <c r="K84" i="2"/>
  <c r="E86" i="2"/>
  <c r="H85" i="2"/>
  <c r="I85" i="2" s="1"/>
  <c r="J85" i="2" s="1"/>
  <c r="G85" i="2"/>
  <c r="M83" i="2"/>
  <c r="M84" i="2" l="1"/>
  <c r="K85" i="2"/>
  <c r="L85" i="2"/>
  <c r="E87" i="2"/>
  <c r="H86" i="2"/>
  <c r="I86" i="2" s="1"/>
  <c r="J86" i="2" s="1"/>
  <c r="G86" i="2"/>
  <c r="K86" i="2" l="1"/>
  <c r="L86" i="2"/>
  <c r="E88" i="2"/>
  <c r="H87" i="2"/>
  <c r="I87" i="2" s="1"/>
  <c r="J87" i="2" s="1"/>
  <c r="G87" i="2"/>
  <c r="M85" i="2"/>
  <c r="K87" i="2" l="1"/>
  <c r="L87" i="2"/>
  <c r="E89" i="2"/>
  <c r="H88" i="2"/>
  <c r="I88" i="2" s="1"/>
  <c r="J88" i="2" s="1"/>
  <c r="G88" i="2"/>
  <c r="M86" i="2"/>
  <c r="K88" i="2" l="1"/>
  <c r="L88" i="2"/>
  <c r="E90" i="2"/>
  <c r="G89" i="2"/>
  <c r="H89" i="2"/>
  <c r="I89" i="2" s="1"/>
  <c r="J89" i="2" s="1"/>
  <c r="M87" i="2"/>
  <c r="L89" i="2" l="1"/>
  <c r="K89" i="2"/>
  <c r="E91" i="2"/>
  <c r="G90" i="2"/>
  <c r="H90" i="2"/>
  <c r="I90" i="2" s="1"/>
  <c r="J90" i="2" s="1"/>
  <c r="M88" i="2"/>
  <c r="E92" i="2" l="1"/>
  <c r="G91" i="2"/>
  <c r="H91" i="2"/>
  <c r="I91" i="2" s="1"/>
  <c r="J91" i="2" s="1"/>
  <c r="M89" i="2"/>
  <c r="K90" i="2"/>
  <c r="L90" i="2"/>
  <c r="E93" i="2" l="1"/>
  <c r="G92" i="2"/>
  <c r="H92" i="2"/>
  <c r="I92" i="2" s="1"/>
  <c r="J92" i="2" s="1"/>
  <c r="M90" i="2"/>
  <c r="K91" i="2"/>
  <c r="L91" i="2"/>
  <c r="E94" i="2" l="1"/>
  <c r="H93" i="2"/>
  <c r="I93" i="2" s="1"/>
  <c r="J93" i="2" s="1"/>
  <c r="G93" i="2"/>
  <c r="M91" i="2"/>
  <c r="L92" i="2"/>
  <c r="K92" i="2"/>
  <c r="M92" i="2" l="1"/>
  <c r="K93" i="2"/>
  <c r="L93" i="2"/>
  <c r="E95" i="2"/>
  <c r="H94" i="2"/>
  <c r="I94" i="2" s="1"/>
  <c r="J94" i="2" s="1"/>
  <c r="G94" i="2"/>
  <c r="K94" i="2" l="1"/>
  <c r="L94" i="2"/>
  <c r="E96" i="2"/>
  <c r="H95" i="2"/>
  <c r="I95" i="2" s="1"/>
  <c r="J95" i="2" s="1"/>
  <c r="G95" i="2"/>
  <c r="M93" i="2"/>
  <c r="K95" i="2" l="1"/>
  <c r="L95" i="2"/>
  <c r="E97" i="2"/>
  <c r="H96" i="2"/>
  <c r="I96" i="2" s="1"/>
  <c r="J96" i="2" s="1"/>
  <c r="G96" i="2"/>
  <c r="M94" i="2"/>
  <c r="L96" i="2" l="1"/>
  <c r="K96" i="2"/>
  <c r="E98" i="2"/>
  <c r="H97" i="2"/>
  <c r="I97" i="2" s="1"/>
  <c r="J97" i="2" s="1"/>
  <c r="G97" i="2"/>
  <c r="M95" i="2"/>
  <c r="M96" i="2" l="1"/>
  <c r="K97" i="2"/>
  <c r="L97" i="2"/>
  <c r="E99" i="2"/>
  <c r="H98" i="2"/>
  <c r="I98" i="2" s="1"/>
  <c r="J98" i="2" s="1"/>
  <c r="G98" i="2"/>
  <c r="K98" i="2" l="1"/>
  <c r="L98" i="2"/>
  <c r="E100" i="2"/>
  <c r="H99" i="2"/>
  <c r="I99" i="2" s="1"/>
  <c r="J99" i="2" s="1"/>
  <c r="G99" i="2"/>
  <c r="M97" i="2"/>
  <c r="K99" i="2" l="1"/>
  <c r="L99" i="2"/>
  <c r="E101" i="2"/>
  <c r="G100" i="2"/>
  <c r="H100" i="2"/>
  <c r="I100" i="2" s="1"/>
  <c r="J100" i="2" s="1"/>
  <c r="M98" i="2"/>
  <c r="L100" i="2" l="1"/>
  <c r="K100" i="2"/>
  <c r="E102" i="2"/>
  <c r="G101" i="2"/>
  <c r="H101" i="2"/>
  <c r="I101" i="2" s="1"/>
  <c r="J101" i="2" s="1"/>
  <c r="M99" i="2"/>
  <c r="M100" i="2" l="1"/>
  <c r="E103" i="2"/>
  <c r="H102" i="2"/>
  <c r="I102" i="2" s="1"/>
  <c r="J102" i="2" s="1"/>
  <c r="G102" i="2"/>
  <c r="K101" i="2"/>
  <c r="L101" i="2"/>
  <c r="M101" i="2" l="1"/>
  <c r="L102" i="2"/>
  <c r="K102" i="2"/>
  <c r="E104" i="2"/>
  <c r="G103" i="2"/>
  <c r="H103" i="2"/>
  <c r="I103" i="2" s="1"/>
  <c r="J103" i="2" s="1"/>
  <c r="M102" i="2" l="1"/>
  <c r="E105" i="2"/>
  <c r="H104" i="2"/>
  <c r="I104" i="2" s="1"/>
  <c r="J104" i="2" s="1"/>
  <c r="G104" i="2"/>
  <c r="L103" i="2"/>
  <c r="K103" i="2"/>
  <c r="K104" i="2" l="1"/>
  <c r="L104" i="2"/>
  <c r="E106" i="2"/>
  <c r="G105" i="2"/>
  <c r="H105" i="2"/>
  <c r="I105" i="2" s="1"/>
  <c r="J105" i="2" s="1"/>
  <c r="M103" i="2"/>
  <c r="K105" i="2" l="1"/>
  <c r="L105" i="2"/>
  <c r="E107" i="2"/>
  <c r="G106" i="2"/>
  <c r="H106" i="2"/>
  <c r="I106" i="2" s="1"/>
  <c r="J106" i="2" s="1"/>
  <c r="M104" i="2"/>
  <c r="K106" i="2" l="1"/>
  <c r="L106" i="2"/>
  <c r="E108" i="2"/>
  <c r="G107" i="2"/>
  <c r="H107" i="2"/>
  <c r="I107" i="2" s="1"/>
  <c r="J107" i="2" s="1"/>
  <c r="M105" i="2"/>
  <c r="M106" i="2" l="1"/>
  <c r="L107" i="2"/>
  <c r="K107" i="2"/>
  <c r="E109" i="2"/>
  <c r="G108" i="2"/>
  <c r="H108" i="2"/>
  <c r="I108" i="2" s="1"/>
  <c r="J108" i="2" s="1"/>
  <c r="L108" i="2" l="1"/>
  <c r="K108" i="2"/>
  <c r="E110" i="2"/>
  <c r="G109" i="2"/>
  <c r="H109" i="2"/>
  <c r="I109" i="2" s="1"/>
  <c r="J109" i="2" s="1"/>
  <c r="M107" i="2"/>
  <c r="G110" i="2" l="1"/>
  <c r="H110" i="2"/>
  <c r="I110" i="2" s="1"/>
  <c r="J110" i="2" s="1"/>
  <c r="K109" i="2"/>
  <c r="L109" i="2"/>
  <c r="M108" i="2"/>
  <c r="L110" i="2" l="1"/>
  <c r="K110" i="2"/>
  <c r="M109" i="2"/>
  <c r="M110" i="2" l="1"/>
  <c r="C7" i="2" s="1"/>
  <c r="D21" i="1" s="1"/>
  <c r="D33" i="8" s="1"/>
  <c r="D34" i="8" l="1"/>
  <c r="D35" i="8"/>
  <c r="D36" i="8" s="1"/>
  <c r="D23" i="1"/>
  <c r="D24" i="1" s="1"/>
  <c r="E24" i="1" s="1"/>
  <c r="D22" i="1"/>
  <c r="D37" i="6"/>
  <c r="E40" i="6" l="1"/>
  <c r="E36" i="8"/>
  <c r="D39" i="6"/>
  <c r="D40" i="6" s="1"/>
  <c r="D38" i="6"/>
</calcChain>
</file>

<file path=xl/sharedStrings.xml><?xml version="1.0" encoding="utf-8"?>
<sst xmlns="http://schemas.openxmlformats.org/spreadsheetml/2006/main" count="221" uniqueCount="157">
  <si>
    <t>GHz</t>
  </si>
  <si>
    <t>km</t>
  </si>
  <si>
    <t>°</t>
  </si>
  <si>
    <t>dBi</t>
  </si>
  <si>
    <t>W</t>
  </si>
  <si>
    <t>dB</t>
  </si>
  <si>
    <t>dBm</t>
  </si>
  <si>
    <t>cm</t>
  </si>
  <si>
    <t>dBz</t>
  </si>
  <si>
    <t>Peak Power in Watts</t>
  </si>
  <si>
    <r>
      <t>Frequency (</t>
    </r>
    <r>
      <rPr>
        <i/>
        <sz val="11"/>
        <color theme="1"/>
        <rFont val="Calibri"/>
        <family val="2"/>
        <scheme val="minor"/>
      </rPr>
      <t>f</t>
    </r>
    <r>
      <rPr>
        <sz val="11"/>
        <color theme="1"/>
        <rFont val="Calibri"/>
        <family val="2"/>
        <scheme val="minor"/>
      </rPr>
      <t>)</t>
    </r>
  </si>
  <si>
    <r>
      <t>Wavelength (</t>
    </r>
    <r>
      <rPr>
        <i/>
        <sz val="11"/>
        <color theme="1"/>
        <rFont val="Calibri"/>
        <family val="2"/>
      </rPr>
      <t>λ</t>
    </r>
    <r>
      <rPr>
        <sz val="11"/>
        <color theme="1"/>
        <rFont val="Calibri"/>
        <family val="2"/>
      </rPr>
      <t>)</t>
    </r>
  </si>
  <si>
    <r>
      <t>Antenna Gain (</t>
    </r>
    <r>
      <rPr>
        <i/>
        <sz val="11"/>
        <color theme="1"/>
        <rFont val="Calibri"/>
        <family val="2"/>
        <scheme val="minor"/>
      </rPr>
      <t>g</t>
    </r>
    <r>
      <rPr>
        <sz val="11"/>
        <color theme="1"/>
        <rFont val="Calibri"/>
        <family val="2"/>
        <scheme val="minor"/>
      </rPr>
      <t>)</t>
    </r>
  </si>
  <si>
    <r>
      <t>Rx Noise Figure (</t>
    </r>
    <r>
      <rPr>
        <i/>
        <sz val="11"/>
        <color theme="1"/>
        <rFont val="Calibri"/>
        <family val="2"/>
      </rPr>
      <t>NF</t>
    </r>
    <r>
      <rPr>
        <sz val="11"/>
        <color theme="1"/>
        <rFont val="Calibri"/>
        <family val="2"/>
      </rPr>
      <t>)</t>
    </r>
  </si>
  <si>
    <t>unitless</t>
  </si>
  <si>
    <t>Radar Hardware Specifications</t>
  </si>
  <si>
    <t>|K|²</t>
  </si>
  <si>
    <t>g/cm³</t>
  </si>
  <si>
    <t>mg/m³</t>
  </si>
  <si>
    <t>N(D)</t>
  </si>
  <si>
    <t>N(D)*D⁶</t>
  </si>
  <si>
    <t>%</t>
  </si>
  <si>
    <t>ms</t>
  </si>
  <si>
    <t>MHz</t>
  </si>
  <si>
    <t>m</t>
  </si>
  <si>
    <t>m/s</t>
  </si>
  <si>
    <t>us</t>
  </si>
  <si>
    <t>Number of Pulses</t>
  </si>
  <si>
    <r>
      <t>Pulse Repitition Time (</t>
    </r>
    <r>
      <rPr>
        <i/>
        <sz val="11"/>
        <color theme="1"/>
        <rFont val="Calibri"/>
        <family val="2"/>
      </rPr>
      <t>PRT</t>
    </r>
    <r>
      <rPr>
        <sz val="11"/>
        <color theme="1"/>
        <rFont val="Calibri"/>
        <family val="2"/>
      </rPr>
      <t>)</t>
    </r>
  </si>
  <si>
    <r>
      <t>Transmit Bandwidth (</t>
    </r>
    <r>
      <rPr>
        <i/>
        <sz val="11"/>
        <color theme="1"/>
        <rFont val="Calibri"/>
        <family val="2"/>
      </rPr>
      <t>BW</t>
    </r>
    <r>
      <rPr>
        <sz val="11"/>
        <color theme="1"/>
        <rFont val="Calibri"/>
        <family val="2"/>
      </rPr>
      <t>)</t>
    </r>
  </si>
  <si>
    <t>Integration SNR Gain</t>
  </si>
  <si>
    <t>°C</t>
  </si>
  <si>
    <t>ρwv(h)</t>
  </si>
  <si>
    <t>Range (km)</t>
  </si>
  <si>
    <t>rp</t>
  </si>
  <si>
    <t>rt</t>
  </si>
  <si>
    <t>Es (Pa)</t>
  </si>
  <si>
    <t>E (Pa)</t>
  </si>
  <si>
    <t>αo(h,f)</t>
  </si>
  <si>
    <t>αwv(h,f)</t>
  </si>
  <si>
    <t>Total α</t>
  </si>
  <si>
    <t>Relative Humidity, RH</t>
  </si>
  <si>
    <r>
      <t xml:space="preserve">Frequency, </t>
    </r>
    <r>
      <rPr>
        <i/>
        <sz val="11"/>
        <color theme="1"/>
        <rFont val="Calibri"/>
        <family val="2"/>
        <scheme val="minor"/>
      </rPr>
      <t>f</t>
    </r>
  </si>
  <si>
    <r>
      <t xml:space="preserve">Relative Humidity, </t>
    </r>
    <r>
      <rPr>
        <i/>
        <sz val="11"/>
        <color theme="1"/>
        <rFont val="Calibri"/>
        <family val="2"/>
        <scheme val="minor"/>
      </rPr>
      <t>RH</t>
    </r>
  </si>
  <si>
    <r>
      <t xml:space="preserve">Temp at Sea Level, </t>
    </r>
    <r>
      <rPr>
        <i/>
        <sz val="11"/>
        <color theme="1"/>
        <rFont val="Calibri"/>
        <family val="2"/>
        <scheme val="minor"/>
      </rPr>
      <t>T</t>
    </r>
    <r>
      <rPr>
        <i/>
        <sz val="11"/>
        <color theme="1"/>
        <rFont val="Calibri"/>
        <family val="2"/>
      </rPr>
      <t>₀</t>
    </r>
  </si>
  <si>
    <r>
      <t xml:space="preserve">El Angle, </t>
    </r>
    <r>
      <rPr>
        <i/>
        <sz val="11"/>
        <color theme="1"/>
        <rFont val="Calibri"/>
        <family val="2"/>
      </rPr>
      <t>φ</t>
    </r>
  </si>
  <si>
    <r>
      <t xml:space="preserve">Max Range, </t>
    </r>
    <r>
      <rPr>
        <i/>
        <sz val="11"/>
        <color theme="1"/>
        <rFont val="Calibri"/>
        <family val="2"/>
        <scheme val="minor"/>
      </rPr>
      <t>r</t>
    </r>
  </si>
  <si>
    <r>
      <t xml:space="preserve">Total 2-Way 
Attenuation, </t>
    </r>
    <r>
      <rPr>
        <sz val="11"/>
        <color theme="1"/>
        <rFont val="Calibri"/>
        <family val="2"/>
      </rPr>
      <t>α</t>
    </r>
  </si>
  <si>
    <t>Temp at Sea Level, T₀</t>
  </si>
  <si>
    <t>Minimum SNR</t>
  </si>
  <si>
    <t>Range, r</t>
  </si>
  <si>
    <t>dB (2-Way)</t>
  </si>
  <si>
    <t>K</t>
  </si>
  <si>
    <r>
      <t>Diameter (</t>
    </r>
    <r>
      <rPr>
        <b/>
        <sz val="11"/>
        <color theme="1"/>
        <rFont val="Calibri"/>
        <family val="2"/>
      </rPr>
      <t>μ</t>
    </r>
    <r>
      <rPr>
        <b/>
        <sz val="11"/>
        <color theme="1"/>
        <rFont val="Calibri"/>
        <family val="2"/>
        <scheme val="minor"/>
      </rPr>
      <t>m)</t>
    </r>
  </si>
  <si>
    <t>Abundance (wt%)</t>
  </si>
  <si>
    <t>Radar Architecture</t>
  </si>
  <si>
    <t>Radar Configuration</t>
  </si>
  <si>
    <r>
      <t>mm</t>
    </r>
    <r>
      <rPr>
        <sz val="11"/>
        <color theme="1"/>
        <rFont val="Calibri"/>
        <family val="2"/>
      </rPr>
      <t>⁶</t>
    </r>
    <r>
      <rPr>
        <sz val="11"/>
        <color theme="1"/>
        <rFont val="Calibri"/>
        <family val="2"/>
        <scheme val="minor"/>
      </rPr>
      <t>/m</t>
    </r>
    <r>
      <rPr>
        <sz val="11"/>
        <color theme="1"/>
        <rFont val="Calibri"/>
        <family val="2"/>
      </rPr>
      <t>³</t>
    </r>
  </si>
  <si>
    <r>
      <t>Temp (</t>
    </r>
    <r>
      <rPr>
        <sz val="11"/>
        <color theme="1"/>
        <rFont val="Calibri"/>
        <family val="2"/>
      </rPr>
      <t>°</t>
    </r>
    <r>
      <rPr>
        <sz val="11"/>
        <color theme="1"/>
        <rFont val="Calibri"/>
        <family val="2"/>
        <scheme val="minor"/>
      </rPr>
      <t>C)</t>
    </r>
  </si>
  <si>
    <t>Pressure (Pa)</t>
  </si>
  <si>
    <t>Beam 
Height (km)</t>
  </si>
  <si>
    <t>El Angle, φ (For Attenuation Calculation)</t>
  </si>
  <si>
    <t>Blind Range</t>
  </si>
  <si>
    <t>Evaluation Criteria</t>
  </si>
  <si>
    <t>Attenuation</t>
  </si>
  <si>
    <t>Calculated 
Performance</t>
  </si>
  <si>
    <t>Sensitivity</t>
  </si>
  <si>
    <t>Receive SNR</t>
  </si>
  <si>
    <t>Pulse Integration</t>
  </si>
  <si>
    <t>DISABLED</t>
  </si>
  <si>
    <t>Antenna Specifications</t>
  </si>
  <si>
    <r>
      <t xml:space="preserve">Antenna Feed Losses, </t>
    </r>
    <r>
      <rPr>
        <i/>
        <sz val="11"/>
        <color theme="1"/>
        <rFont val="Calibri"/>
        <family val="2"/>
      </rPr>
      <t>ℓa</t>
    </r>
  </si>
  <si>
    <r>
      <t xml:space="preserve">Reflector Diameter, </t>
    </r>
    <r>
      <rPr>
        <i/>
        <sz val="11"/>
        <color theme="1"/>
        <rFont val="Calibri"/>
        <family val="2"/>
      </rPr>
      <t>d</t>
    </r>
  </si>
  <si>
    <r>
      <t>Peak Transmit Power (</t>
    </r>
    <r>
      <rPr>
        <i/>
        <sz val="11"/>
        <color theme="1"/>
        <rFont val="Calibri"/>
        <family val="2"/>
        <scheme val="minor"/>
      </rPr>
      <t>Pt</t>
    </r>
    <r>
      <rPr>
        <sz val="11"/>
        <color theme="1"/>
        <rFont val="Calibri"/>
        <family val="2"/>
        <scheme val="minor"/>
      </rPr>
      <t>)</t>
    </r>
  </si>
  <si>
    <r>
      <t>Antenna Gain (</t>
    </r>
    <r>
      <rPr>
        <i/>
        <sz val="11"/>
        <color theme="1"/>
        <rFont val="Calibri"/>
        <family val="2"/>
      </rPr>
      <t>g</t>
    </r>
    <r>
      <rPr>
        <sz val="11"/>
        <color theme="1"/>
        <rFont val="Calibri"/>
        <family val="2"/>
      </rPr>
      <t>) - Manual Entry</t>
    </r>
  </si>
  <si>
    <r>
      <t>Antenna Gain (</t>
    </r>
    <r>
      <rPr>
        <i/>
        <sz val="11"/>
        <color theme="1"/>
        <rFont val="Calibri"/>
        <family val="2"/>
      </rPr>
      <t>g</t>
    </r>
    <r>
      <rPr>
        <sz val="11"/>
        <color theme="1"/>
        <rFont val="Calibri"/>
        <family val="2"/>
      </rPr>
      <t>) - Calculated</t>
    </r>
  </si>
  <si>
    <t>Manual Entry</t>
  </si>
  <si>
    <r>
      <t>k factor (</t>
    </r>
    <r>
      <rPr>
        <i/>
        <sz val="11"/>
        <color theme="1"/>
        <rFont val="Calibri"/>
        <family val="2"/>
      </rPr>
      <t>parabolic</t>
    </r>
    <r>
      <rPr>
        <sz val="11"/>
        <color theme="1"/>
        <rFont val="Calibri"/>
        <family val="2"/>
      </rPr>
      <t>≈</t>
    </r>
    <r>
      <rPr>
        <i/>
        <sz val="11"/>
        <color theme="1"/>
        <rFont val="Calibri"/>
        <family val="2"/>
      </rPr>
      <t>70, cassegrain≈80</t>
    </r>
    <r>
      <rPr>
        <sz val="11"/>
        <color theme="1"/>
        <rFont val="Calibri"/>
        <family val="2"/>
      </rPr>
      <t>)</t>
    </r>
  </si>
  <si>
    <t>Transmitter and Receiver Specifications</t>
  </si>
  <si>
    <r>
      <t>Total Loss (</t>
    </r>
    <r>
      <rPr>
        <i/>
        <sz val="11"/>
        <color theme="1"/>
        <rFont val="Calibri"/>
        <family val="2"/>
      </rPr>
      <t>ℓ</t>
    </r>
    <r>
      <rPr>
        <sz val="11"/>
        <color theme="1"/>
        <rFont val="Calibri"/>
        <family val="2"/>
      </rPr>
      <t>)</t>
    </r>
  </si>
  <si>
    <r>
      <t>Antenna Noise Temp (</t>
    </r>
    <r>
      <rPr>
        <i/>
        <sz val="11"/>
        <color theme="1"/>
        <rFont val="Calibri"/>
        <family val="2"/>
      </rPr>
      <t>Ta</t>
    </r>
    <r>
      <rPr>
        <sz val="11"/>
        <color theme="1"/>
        <rFont val="Calibri"/>
        <family val="2"/>
      </rPr>
      <t>)</t>
    </r>
  </si>
  <si>
    <t>Antenna Specification</t>
  </si>
  <si>
    <t>Scan Strategy</t>
  </si>
  <si>
    <t>Hz</t>
  </si>
  <si>
    <r>
      <t>Pulse Repitition Frequency (</t>
    </r>
    <r>
      <rPr>
        <i/>
        <sz val="11"/>
        <color theme="1"/>
        <rFont val="Calibri"/>
        <family val="2"/>
      </rPr>
      <t>PRF</t>
    </r>
    <r>
      <rPr>
        <sz val="11"/>
        <color theme="1"/>
        <rFont val="Calibri"/>
        <family val="2"/>
      </rPr>
      <t>)</t>
    </r>
  </si>
  <si>
    <r>
      <t>Tx Pulse Width (</t>
    </r>
    <r>
      <rPr>
        <i/>
        <sz val="11"/>
        <color theme="1"/>
        <rFont val="Calibri"/>
        <family val="2"/>
      </rPr>
      <t>τ</t>
    </r>
    <r>
      <rPr>
        <sz val="11"/>
        <color theme="1"/>
        <rFont val="Calibri"/>
        <family val="2"/>
      </rPr>
      <t>)</t>
    </r>
  </si>
  <si>
    <r>
      <t>Range Resolution (</t>
    </r>
    <r>
      <rPr>
        <i/>
        <sz val="11"/>
        <color theme="1"/>
        <rFont val="Calibri"/>
        <family val="2"/>
      </rPr>
      <t>Δr</t>
    </r>
    <r>
      <rPr>
        <sz val="11"/>
        <color theme="1"/>
        <rFont val="Calibri"/>
        <family val="2"/>
      </rPr>
      <t>)</t>
    </r>
  </si>
  <si>
    <r>
      <t>Unambiguous Range (</t>
    </r>
    <r>
      <rPr>
        <i/>
        <sz val="11"/>
        <color theme="1"/>
        <rFont val="Calibri"/>
        <family val="2"/>
      </rPr>
      <t>Ra</t>
    </r>
    <r>
      <rPr>
        <sz val="11"/>
        <color theme="1"/>
        <rFont val="Calibri"/>
        <family val="2"/>
      </rPr>
      <t>)</t>
    </r>
  </si>
  <si>
    <r>
      <t>Aliasing Velocity (</t>
    </r>
    <r>
      <rPr>
        <i/>
        <sz val="11"/>
        <color theme="1"/>
        <rFont val="Calibri"/>
        <family val="2"/>
      </rPr>
      <t>Va</t>
    </r>
    <r>
      <rPr>
        <sz val="11"/>
        <color theme="1"/>
        <rFont val="Calibri"/>
        <family val="2"/>
      </rPr>
      <t>)</t>
    </r>
  </si>
  <si>
    <t>Tx Duty Cycle</t>
  </si>
  <si>
    <t>Minimum Detectable Signal</t>
  </si>
  <si>
    <t>Decorrelation Time</t>
  </si>
  <si>
    <t>MDS Specification</t>
  </si>
  <si>
    <r>
      <t>Min Detectable Signal (</t>
    </r>
    <r>
      <rPr>
        <i/>
        <sz val="11"/>
        <color theme="1"/>
        <rFont val="Calibri"/>
        <family val="2"/>
        <scheme val="minor"/>
      </rPr>
      <t>MDS</t>
    </r>
    <r>
      <rPr>
        <sz val="11"/>
        <color theme="1"/>
        <rFont val="Calibri"/>
        <family val="2"/>
        <scheme val="minor"/>
      </rPr>
      <t>)</t>
    </r>
  </si>
  <si>
    <r>
      <t>Min Detectable Signal (</t>
    </r>
    <r>
      <rPr>
        <i/>
        <sz val="11"/>
        <color theme="1"/>
        <rFont val="Calibri"/>
        <family val="2"/>
        <scheme val="minor"/>
      </rPr>
      <t>MDS</t>
    </r>
    <r>
      <rPr>
        <sz val="11"/>
        <color theme="1"/>
        <rFont val="Calibri"/>
        <family val="2"/>
        <scheme val="minor"/>
      </rPr>
      <t>) - Manual Entry</t>
    </r>
  </si>
  <si>
    <r>
      <t>Min Detectable Signal (</t>
    </r>
    <r>
      <rPr>
        <i/>
        <sz val="11"/>
        <color theme="1"/>
        <rFont val="Calibri"/>
        <family val="2"/>
        <scheme val="minor"/>
      </rPr>
      <t>MDS</t>
    </r>
    <r>
      <rPr>
        <sz val="11"/>
        <color theme="1"/>
        <rFont val="Calibri"/>
        <family val="2"/>
        <scheme val="minor"/>
      </rPr>
      <t>) - Calculated</t>
    </r>
  </si>
  <si>
    <r>
      <t>Max Observed Spectrum Width (</t>
    </r>
    <r>
      <rPr>
        <i/>
        <sz val="11"/>
        <color theme="1"/>
        <rFont val="Calibri"/>
        <family val="2"/>
      </rPr>
      <t>σv</t>
    </r>
    <r>
      <rPr>
        <sz val="11"/>
        <color theme="1"/>
        <rFont val="Calibri"/>
        <family val="2"/>
      </rPr>
      <t>)</t>
    </r>
  </si>
  <si>
    <t>Decorrelation Time - Calculated</t>
  </si>
  <si>
    <t>Decorrelation Time - Manual Entry</t>
  </si>
  <si>
    <t>Decorrelation Time Specification</t>
  </si>
  <si>
    <t>Observed Target</t>
  </si>
  <si>
    <t>Particle Type</t>
  </si>
  <si>
    <t>Particle Specifications</t>
  </si>
  <si>
    <t>Liquid Water</t>
  </si>
  <si>
    <r>
      <t>Particle Density (</t>
    </r>
    <r>
      <rPr>
        <i/>
        <sz val="11"/>
        <color theme="1"/>
        <rFont val="Calibri"/>
        <family val="2"/>
      </rPr>
      <t>ρ</t>
    </r>
    <r>
      <rPr>
        <sz val="11"/>
        <color theme="1"/>
        <rFont val="Calibri"/>
        <family val="2"/>
        <scheme val="minor"/>
      </rPr>
      <t>)</t>
    </r>
  </si>
  <si>
    <r>
      <t>Particle Relative Permittivity (</t>
    </r>
    <r>
      <rPr>
        <i/>
        <sz val="11"/>
        <color theme="1"/>
        <rFont val="Calibri"/>
        <family val="2"/>
      </rPr>
      <t>εr</t>
    </r>
    <r>
      <rPr>
        <sz val="11"/>
        <color theme="1"/>
        <rFont val="Calibri"/>
        <family val="2"/>
      </rPr>
      <t>) - Preset</t>
    </r>
  </si>
  <si>
    <r>
      <t>Particle Density (</t>
    </r>
    <r>
      <rPr>
        <i/>
        <sz val="11"/>
        <color theme="1"/>
        <rFont val="Calibri"/>
        <family val="2"/>
      </rPr>
      <t>ρ</t>
    </r>
    <r>
      <rPr>
        <sz val="11"/>
        <color theme="1"/>
        <rFont val="Calibri"/>
        <family val="2"/>
        <scheme val="minor"/>
      </rPr>
      <t>) - Preset</t>
    </r>
  </si>
  <si>
    <r>
      <t>Particle Relative Permittivity (</t>
    </r>
    <r>
      <rPr>
        <i/>
        <sz val="11"/>
        <color theme="1"/>
        <rFont val="Calibri"/>
        <family val="2"/>
      </rPr>
      <t>εr</t>
    </r>
    <r>
      <rPr>
        <sz val="11"/>
        <color theme="1"/>
        <rFont val="Calibri"/>
        <family val="2"/>
      </rPr>
      <t>) - Custom</t>
    </r>
  </si>
  <si>
    <r>
      <t>Particle Density (</t>
    </r>
    <r>
      <rPr>
        <i/>
        <sz val="11"/>
        <color theme="1"/>
        <rFont val="Calibri"/>
        <family val="2"/>
      </rPr>
      <t>ρ</t>
    </r>
    <r>
      <rPr>
        <sz val="11"/>
        <color theme="1"/>
        <rFont val="Calibri"/>
        <family val="2"/>
        <scheme val="minor"/>
      </rPr>
      <t>) - Custom</t>
    </r>
  </si>
  <si>
    <t>Preset</t>
  </si>
  <si>
    <t>Particle Specification</t>
  </si>
  <si>
    <r>
      <t>Particle Relative Permittivity (</t>
    </r>
    <r>
      <rPr>
        <i/>
        <sz val="11"/>
        <color theme="1"/>
        <rFont val="Calibri"/>
        <family val="2"/>
      </rPr>
      <t>εr</t>
    </r>
    <r>
      <rPr>
        <sz val="11"/>
        <color theme="1"/>
        <rFont val="Calibri"/>
        <family val="2"/>
      </rPr>
      <t>)</t>
    </r>
  </si>
  <si>
    <t>Reflectivity Factor Estimation by PSD</t>
  </si>
  <si>
    <r>
      <t xml:space="preserve">Equivalent Reflectivity Factor, </t>
    </r>
    <r>
      <rPr>
        <i/>
        <sz val="11"/>
        <color theme="1"/>
        <rFont val="Calibri"/>
        <family val="2"/>
        <scheme val="minor"/>
      </rPr>
      <t>Ze</t>
    </r>
  </si>
  <si>
    <t>Volumetric Particle Concentration</t>
  </si>
  <si>
    <t>1km Sensitivity Calculation (No Integration or Attenuation)</t>
  </si>
  <si>
    <t>dBz @ 1km</t>
  </si>
  <si>
    <t>1km Received Power Calculation (No Integration or Attenuation)</t>
  </si>
  <si>
    <t>Reflectivity - From PSD</t>
  </si>
  <si>
    <t>Reflectivity - Custom</t>
  </si>
  <si>
    <t>Reflectivity Specification</t>
  </si>
  <si>
    <t>Custom</t>
  </si>
  <si>
    <t>Min dBz @ 1km</t>
  </si>
  <si>
    <t>Received Signal Power @ 1km</t>
  </si>
  <si>
    <r>
      <t>Az 3dB Beamwidth (</t>
    </r>
    <r>
      <rPr>
        <i/>
        <sz val="11"/>
        <color theme="1"/>
        <rFont val="Calibri"/>
        <family val="2"/>
      </rPr>
      <t>Θ₁</t>
    </r>
    <r>
      <rPr>
        <sz val="11"/>
        <color theme="1"/>
        <rFont val="Calibri"/>
        <family val="2"/>
      </rPr>
      <t>) - Calculated</t>
    </r>
  </si>
  <si>
    <r>
      <t>El 3dB Beamwidth (</t>
    </r>
    <r>
      <rPr>
        <i/>
        <sz val="11"/>
        <color theme="1"/>
        <rFont val="Calibri"/>
        <family val="2"/>
      </rPr>
      <t>φ₁</t>
    </r>
    <r>
      <rPr>
        <sz val="11"/>
        <color theme="1"/>
        <rFont val="Calibri"/>
        <family val="2"/>
      </rPr>
      <t>) - Calculated</t>
    </r>
  </si>
  <si>
    <r>
      <t>Az 3dB Beamwidth (</t>
    </r>
    <r>
      <rPr>
        <i/>
        <sz val="11"/>
        <color theme="1"/>
        <rFont val="Calibri"/>
        <family val="2"/>
      </rPr>
      <t>Θ₁</t>
    </r>
    <r>
      <rPr>
        <sz val="11"/>
        <color theme="1"/>
        <rFont val="Calibri"/>
        <family val="2"/>
      </rPr>
      <t>) - Manual Entry</t>
    </r>
  </si>
  <si>
    <r>
      <t>El 3dB Beamwidth (</t>
    </r>
    <r>
      <rPr>
        <i/>
        <sz val="11"/>
        <color theme="1"/>
        <rFont val="Calibri"/>
        <family val="2"/>
      </rPr>
      <t>φ₁</t>
    </r>
    <r>
      <rPr>
        <sz val="11"/>
        <color theme="1"/>
        <rFont val="Calibri"/>
        <family val="2"/>
      </rPr>
      <t>) - Manual Entry</t>
    </r>
  </si>
  <si>
    <r>
      <t>Az 3dB Beamwidth (</t>
    </r>
    <r>
      <rPr>
        <i/>
        <sz val="11"/>
        <color theme="1"/>
        <rFont val="Calibri"/>
        <family val="2"/>
      </rPr>
      <t>Θ₁</t>
    </r>
    <r>
      <rPr>
        <sz val="11"/>
        <color theme="1"/>
        <rFont val="Calibri"/>
        <family val="2"/>
      </rPr>
      <t>)</t>
    </r>
  </si>
  <si>
    <r>
      <t>El 3dB Beamwidth (</t>
    </r>
    <r>
      <rPr>
        <i/>
        <sz val="11"/>
        <color theme="1"/>
        <rFont val="Calibri"/>
        <family val="2"/>
      </rPr>
      <t>φ₁</t>
    </r>
    <r>
      <rPr>
        <sz val="11"/>
        <color theme="1"/>
        <rFont val="Calibri"/>
        <family val="2"/>
      </rPr>
      <t>)</t>
    </r>
  </si>
  <si>
    <t>Elements</t>
  </si>
  <si>
    <t>Number of Active Elements</t>
  </si>
  <si>
    <t>ft</t>
  </si>
  <si>
    <t>Tx Power Gain</t>
  </si>
  <si>
    <t>Effective Transmit Power</t>
  </si>
  <si>
    <t>Tx Array Aperture Gain</t>
  </si>
  <si>
    <t>Rx Array Aperture Gain</t>
  </si>
  <si>
    <t>-- Enter the specifications for one element in the "Hardware" tab and enter the array specifications here.  There is one EXCEPTION: Enter the antenna beamwidths for the FULL ARRAY.  This is because the weather radar equation uses these numbers to calculate the sampling volume for volume scattering.
-- Enter your "Evaluation Criteria" in the "Calculations" tab.</t>
  </si>
  <si>
    <t>Digital</t>
  </si>
  <si>
    <t>Rx Digital Array Gain (Ideal)</t>
  </si>
  <si>
    <t>Rx Beamforming Method</t>
  </si>
  <si>
    <t>Rx Digital Array Gain (Actual)</t>
  </si>
  <si>
    <t>Rx Digital Array Gain Specification</t>
  </si>
  <si>
    <t>Ideal</t>
  </si>
  <si>
    <t>Rx Digital Array Gain</t>
  </si>
  <si>
    <t>Conventional Pulsed (BW = 1/τ)</t>
  </si>
  <si>
    <t>Rx Array Taper/Scan Loss</t>
  </si>
  <si>
    <t>Tx Array Taper/Scan Loss</t>
  </si>
  <si>
    <t>Tx Pulse Amplitude Window Loss</t>
  </si>
  <si>
    <t>Rx Pulse Amplitude Window Loss</t>
  </si>
  <si>
    <t>Imaging Radar Calculation Tool</t>
  </si>
  <si>
    <t>Phased-Array Radar Calculation Tool</t>
  </si>
  <si>
    <t>Number of Active Rx Elements</t>
  </si>
  <si>
    <t>Tx Antenna Gain</t>
  </si>
  <si>
    <t>-- Enter the specifications for one element in the "Hardware" tab and enter the array specifications here.  EXCEPTIONS: Enter the OVERALL transmitter power and loss.  Enter the antenna beamwidths for the FULL RX ARRAY.  This is because the weather radar equation uses these numbers to calculate the sampling volume for volume scattering.
-- Enter your "Evaluation Criteria" in the "Calculations" tab.</t>
  </si>
  <si>
    <t>kW</t>
  </si>
  <si>
    <r>
      <t xml:space="preserve">Weather Radar Sensitivity Calculator
</t>
    </r>
    <r>
      <rPr>
        <i/>
        <sz val="12"/>
        <color theme="1"/>
        <rFont val="Calibri"/>
        <family val="2"/>
        <scheme val="minor"/>
      </rPr>
      <t>©2011 Redmond Kelley (redmond@ou.edu)</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</si>
</sst>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0000E+00"/>
  </numFmts>
  <fonts count="9" x14ac:knownFonts="1">
    <font>
      <sz val="11"/>
      <color theme="1"/>
      <name val="Calibri"/>
      <family val="2"/>
      <scheme val="minor"/>
    </font>
    <font>
      <sz val="11"/>
      <color theme="1"/>
      <name val="Calibri"/>
      <family val="2"/>
    </font>
    <font>
      <i/>
      <sz val="11"/>
      <color theme="1"/>
      <name val="Calibri"/>
      <family val="2"/>
    </font>
    <font>
      <i/>
      <sz val="11"/>
      <color theme="1"/>
      <name val="Calibri"/>
      <family val="2"/>
      <scheme val="minor"/>
    </font>
    <font>
      <b/>
      <sz val="11"/>
      <color theme="1"/>
      <name val="Calibri"/>
      <family val="2"/>
      <scheme val="minor"/>
    </font>
    <font>
      <b/>
      <sz val="11"/>
      <color theme="1"/>
      <name val="Calibri"/>
      <family val="2"/>
    </font>
    <font>
      <b/>
      <sz val="24"/>
      <color theme="1"/>
      <name val="Calibri"/>
      <family val="2"/>
      <scheme val="minor"/>
    </font>
    <font>
      <sz val="24"/>
      <color theme="1"/>
      <name val="Calibri"/>
      <family val="2"/>
      <scheme val="minor"/>
    </font>
    <font>
      <i/>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56">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bottom style="double">
        <color indexed="64"/>
      </bottom>
      <diagonal/>
    </border>
    <border>
      <left style="hair">
        <color indexed="64"/>
      </left>
      <right/>
      <top style="double">
        <color indexed="64"/>
      </top>
      <bottom style="hair">
        <color indexed="64"/>
      </bottom>
      <diagonal/>
    </border>
    <border>
      <left/>
      <right style="hair">
        <color indexed="64"/>
      </right>
      <top style="double">
        <color indexed="64"/>
      </top>
      <bottom/>
      <diagonal/>
    </border>
    <border>
      <left/>
      <right/>
      <top style="double">
        <color indexed="64"/>
      </top>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double">
        <color indexed="64"/>
      </right>
      <top/>
      <bottom style="double">
        <color indexed="64"/>
      </bottom>
      <diagonal/>
    </border>
    <border>
      <left style="hair">
        <color indexed="64"/>
      </left>
      <right style="double">
        <color indexed="64"/>
      </right>
      <top style="double">
        <color indexed="64"/>
      </top>
      <bottom/>
      <diagonal/>
    </border>
    <border>
      <left/>
      <right style="double">
        <color indexed="64"/>
      </right>
      <top style="double">
        <color indexed="64"/>
      </top>
      <bottom/>
      <diagonal/>
    </border>
    <border>
      <left/>
      <right style="double">
        <color indexed="64"/>
      </right>
      <top style="double">
        <color indexed="64"/>
      </top>
      <bottom style="hair">
        <color indexed="64"/>
      </bottom>
      <diagonal/>
    </border>
    <border>
      <left/>
      <right style="double">
        <color indexed="64"/>
      </right>
      <top style="hair">
        <color indexed="64"/>
      </top>
      <bottom/>
      <diagonal/>
    </border>
    <border>
      <left style="thin">
        <color indexed="64"/>
      </left>
      <right style="double">
        <color indexed="64"/>
      </right>
      <top style="double">
        <color indexed="64"/>
      </top>
      <bottom style="double">
        <color indexed="64"/>
      </bottom>
      <diagonal/>
    </border>
    <border>
      <left style="double">
        <color indexed="64"/>
      </left>
      <right/>
      <top/>
      <bottom style="double">
        <color indexed="64"/>
      </bottom>
      <diagonal/>
    </border>
    <border>
      <left/>
      <right/>
      <top style="double">
        <color indexed="64"/>
      </top>
      <bottom style="double">
        <color indexed="64"/>
      </bottom>
      <diagonal/>
    </border>
    <border>
      <left style="hair">
        <color indexed="64"/>
      </left>
      <right/>
      <top/>
      <bottom style="hair">
        <color indexed="64"/>
      </bottom>
      <diagonal/>
    </border>
    <border>
      <left style="double">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style="double">
        <color indexed="64"/>
      </left>
      <right style="double">
        <color indexed="64"/>
      </right>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right style="hair">
        <color indexed="64"/>
      </right>
      <top/>
      <bottom style="double">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bottom/>
      <diagonal/>
    </border>
    <border>
      <left style="double">
        <color indexed="64"/>
      </left>
      <right style="double">
        <color indexed="64"/>
      </right>
      <top style="double">
        <color indexed="64"/>
      </top>
      <bottom style="double">
        <color indexed="64"/>
      </bottom>
      <diagonal/>
    </border>
    <border>
      <left style="hair">
        <color indexed="64"/>
      </left>
      <right/>
      <top style="double">
        <color indexed="64"/>
      </top>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style="thin">
        <color indexed="64"/>
      </left>
      <right/>
      <top style="double">
        <color indexed="64"/>
      </top>
      <bottom style="double">
        <color indexed="64"/>
      </bottom>
      <diagonal/>
    </border>
    <border>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right/>
      <top style="hair">
        <color indexed="64"/>
      </top>
      <bottom style="hair">
        <color indexed="64"/>
      </bottom>
      <diagonal/>
    </border>
    <border>
      <left style="double">
        <color indexed="64"/>
      </left>
      <right style="hair">
        <color indexed="64"/>
      </right>
      <top/>
      <bottom style="double">
        <color indexed="64"/>
      </bottom>
      <diagonal/>
    </border>
    <border>
      <left style="double">
        <color indexed="64"/>
      </left>
      <right style="hair">
        <color indexed="64"/>
      </right>
      <top style="double">
        <color indexed="64"/>
      </top>
      <bottom style="hair">
        <color indexed="64"/>
      </bottom>
      <diagonal/>
    </border>
    <border>
      <left style="double">
        <color indexed="64"/>
      </left>
      <right style="hair">
        <color indexed="64"/>
      </right>
      <top/>
      <bottom style="hair">
        <color indexed="64"/>
      </bottom>
      <diagonal/>
    </border>
    <border>
      <left style="double">
        <color indexed="64"/>
      </left>
      <right style="hair">
        <color indexed="64"/>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1">
    <xf numFmtId="0" fontId="0" fillId="0" borderId="0"/>
  </cellStyleXfs>
  <cellXfs count="240">
    <xf numFmtId="0" fontId="0" fillId="0" borderId="0" xfId="0"/>
    <xf numFmtId="0" fontId="0" fillId="0" borderId="0" xfId="0" applyBorder="1" applyProtection="1"/>
    <xf numFmtId="0" fontId="0" fillId="0" borderId="0" xfId="0" applyProtection="1"/>
    <xf numFmtId="0" fontId="0" fillId="0" borderId="0" xfId="0" applyBorder="1" applyAlignment="1" applyProtection="1"/>
    <xf numFmtId="0" fontId="0" fillId="3" borderId="0" xfId="0" applyFill="1" applyBorder="1" applyProtection="1"/>
    <xf numFmtId="0" fontId="0" fillId="3" borderId="0" xfId="0" applyFill="1" applyProtection="1"/>
    <xf numFmtId="0" fontId="0" fillId="3" borderId="0" xfId="0" applyFill="1" applyBorder="1" applyAlignment="1" applyProtection="1"/>
    <xf numFmtId="1" fontId="0" fillId="3" borderId="0" xfId="0" applyNumberFormat="1" applyFill="1" applyBorder="1" applyProtection="1"/>
    <xf numFmtId="0" fontId="1" fillId="3" borderId="0" xfId="0" applyFont="1" applyFill="1" applyBorder="1" applyProtection="1"/>
    <xf numFmtId="164" fontId="0" fillId="3" borderId="0" xfId="0" applyNumberFormat="1" applyFill="1" applyBorder="1" applyProtection="1"/>
    <xf numFmtId="1" fontId="0" fillId="4" borderId="0" xfId="0" applyNumberFormat="1" applyFill="1" applyBorder="1" applyProtection="1"/>
    <xf numFmtId="164" fontId="0" fillId="4" borderId="0" xfId="0" applyNumberFormat="1" applyFill="1" applyBorder="1" applyProtection="1"/>
    <xf numFmtId="164" fontId="0" fillId="4" borderId="2" xfId="0" applyNumberFormat="1" applyFill="1" applyBorder="1" applyProtection="1"/>
    <xf numFmtId="164" fontId="0" fillId="2" borderId="4" xfId="0" applyNumberFormat="1" applyFill="1" applyBorder="1" applyProtection="1">
      <protection locked="0"/>
    </xf>
    <xf numFmtId="164" fontId="0" fillId="2" borderId="5" xfId="0" applyNumberFormat="1" applyFill="1" applyBorder="1" applyProtection="1">
      <protection locked="0"/>
    </xf>
    <xf numFmtId="0" fontId="0" fillId="4" borderId="0" xfId="0" applyFill="1" applyBorder="1" applyProtection="1"/>
    <xf numFmtId="164" fontId="0" fillId="4" borderId="7" xfId="0" applyNumberFormat="1" applyFill="1" applyBorder="1" applyProtection="1"/>
    <xf numFmtId="0" fontId="0" fillId="4" borderId="13" xfId="0" applyFill="1" applyBorder="1" applyProtection="1"/>
    <xf numFmtId="0" fontId="1" fillId="4" borderId="14" xfId="0" applyFont="1" applyFill="1" applyBorder="1" applyProtection="1"/>
    <xf numFmtId="0" fontId="1" fillId="4" borderId="15" xfId="0" applyFont="1" applyFill="1" applyBorder="1" applyProtection="1"/>
    <xf numFmtId="0" fontId="1" fillId="4" borderId="13" xfId="0" applyFont="1" applyFill="1" applyBorder="1" applyProtection="1"/>
    <xf numFmtId="0" fontId="1" fillId="4" borderId="16" xfId="0" applyFont="1" applyFill="1" applyBorder="1" applyProtection="1"/>
    <xf numFmtId="0" fontId="0" fillId="4" borderId="20" xfId="0" applyFill="1" applyBorder="1" applyProtection="1"/>
    <xf numFmtId="0" fontId="0" fillId="3" borderId="13" xfId="0" applyFill="1" applyBorder="1" applyProtection="1"/>
    <xf numFmtId="0" fontId="0" fillId="3" borderId="7" xfId="0" applyFill="1" applyBorder="1" applyProtection="1"/>
    <xf numFmtId="2" fontId="0" fillId="4" borderId="7" xfId="0" applyNumberFormat="1" applyFill="1" applyBorder="1" applyProtection="1"/>
    <xf numFmtId="0" fontId="4" fillId="5" borderId="29" xfId="0" applyFont="1" applyFill="1" applyBorder="1" applyAlignment="1" applyProtection="1">
      <alignment horizontal="center"/>
    </xf>
    <xf numFmtId="0" fontId="4" fillId="5" borderId="7" xfId="0" applyFont="1" applyFill="1" applyBorder="1" applyAlignment="1" applyProtection="1">
      <alignment horizontal="center"/>
    </xf>
    <xf numFmtId="0" fontId="0" fillId="4" borderId="18" xfId="0" applyFill="1" applyBorder="1" applyAlignment="1" applyProtection="1">
      <alignment horizontal="center"/>
    </xf>
    <xf numFmtId="0" fontId="0" fillId="4" borderId="13" xfId="0" applyFill="1" applyBorder="1" applyAlignment="1" applyProtection="1">
      <alignment horizontal="center"/>
    </xf>
    <xf numFmtId="0" fontId="0" fillId="4" borderId="16" xfId="0" applyFill="1" applyBorder="1" applyAlignment="1" applyProtection="1">
      <alignment horizontal="center"/>
    </xf>
    <xf numFmtId="0" fontId="0" fillId="2" borderId="33" xfId="0" applyFill="1" applyBorder="1" applyAlignment="1" applyProtection="1">
      <alignment horizontal="center"/>
      <protection locked="0"/>
    </xf>
    <xf numFmtId="0" fontId="0" fillId="2" borderId="34"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35" xfId="0" applyFill="1" applyBorder="1" applyAlignment="1" applyProtection="1">
      <alignment horizontal="center"/>
      <protection locked="0"/>
    </xf>
    <xf numFmtId="0" fontId="0" fillId="2" borderId="15" xfId="0" applyFill="1" applyBorder="1" applyAlignment="1" applyProtection="1">
      <alignment horizontal="center"/>
      <protection locked="0"/>
    </xf>
    <xf numFmtId="0" fontId="0" fillId="4" borderId="17" xfId="0" applyFill="1" applyBorder="1" applyProtection="1"/>
    <xf numFmtId="0" fontId="0" fillId="4" borderId="15" xfId="0" applyFill="1" applyBorder="1" applyProtection="1"/>
    <xf numFmtId="0" fontId="0" fillId="4" borderId="13" xfId="0" applyFont="1" applyFill="1" applyBorder="1" applyAlignment="1" applyProtection="1">
      <alignment horizontal="left"/>
    </xf>
    <xf numFmtId="0" fontId="1" fillId="4" borderId="13" xfId="0" applyFont="1" applyFill="1" applyBorder="1" applyAlignment="1" applyProtection="1">
      <alignment horizontal="left"/>
    </xf>
    <xf numFmtId="0" fontId="0" fillId="4" borderId="16" xfId="0" applyFont="1" applyFill="1" applyBorder="1" applyProtection="1"/>
    <xf numFmtId="0" fontId="0" fillId="2" borderId="30" xfId="0" applyFont="1" applyFill="1" applyBorder="1" applyProtection="1">
      <protection locked="0"/>
    </xf>
    <xf numFmtId="164" fontId="0" fillId="2" borderId="31" xfId="0" applyNumberFormat="1" applyFont="1" applyFill="1" applyBorder="1" applyProtection="1">
      <protection locked="0"/>
    </xf>
    <xf numFmtId="0" fontId="0" fillId="2" borderId="4" xfId="0" applyFont="1" applyFill="1" applyBorder="1" applyProtection="1">
      <protection locked="0"/>
    </xf>
    <xf numFmtId="0" fontId="0" fillId="4" borderId="13" xfId="0" applyFont="1" applyFill="1" applyBorder="1" applyProtection="1"/>
    <xf numFmtId="2" fontId="0" fillId="4" borderId="7" xfId="0" applyNumberFormat="1" applyFont="1" applyFill="1" applyBorder="1" applyProtection="1"/>
    <xf numFmtId="0" fontId="0" fillId="4" borderId="16" xfId="0" applyFill="1" applyBorder="1" applyProtection="1"/>
    <xf numFmtId="0" fontId="0" fillId="2" borderId="39" xfId="0" applyFill="1" applyBorder="1" applyProtection="1">
      <protection locked="0"/>
    </xf>
    <xf numFmtId="0" fontId="0" fillId="2" borderId="24" xfId="0" applyFill="1" applyBorder="1" applyProtection="1">
      <protection locked="0"/>
    </xf>
    <xf numFmtId="0" fontId="0" fillId="4" borderId="28" xfId="0" applyFill="1" applyBorder="1" applyProtection="1"/>
    <xf numFmtId="0" fontId="0" fillId="4" borderId="10" xfId="0" applyFill="1" applyBorder="1" applyProtection="1"/>
    <xf numFmtId="0" fontId="0" fillId="4" borderId="36" xfId="0" applyFill="1" applyBorder="1" applyProtection="1"/>
    <xf numFmtId="0" fontId="0" fillId="4" borderId="22" xfId="0" applyFill="1" applyBorder="1" applyAlignment="1" applyProtection="1">
      <alignment wrapText="1"/>
    </xf>
    <xf numFmtId="0" fontId="0" fillId="5" borderId="26" xfId="0" applyFill="1" applyBorder="1" applyAlignment="1" applyProtection="1">
      <alignment horizontal="center"/>
    </xf>
    <xf numFmtId="0" fontId="0" fillId="5" borderId="37" xfId="0" applyFill="1" applyBorder="1" applyAlignment="1" applyProtection="1">
      <alignment horizontal="center" wrapText="1"/>
    </xf>
    <xf numFmtId="0" fontId="0" fillId="5" borderId="23" xfId="0" applyFill="1" applyBorder="1" applyAlignment="1" applyProtection="1">
      <alignment horizontal="center"/>
    </xf>
    <xf numFmtId="0" fontId="0" fillId="5" borderId="37" xfId="0" applyFill="1" applyBorder="1" applyAlignment="1" applyProtection="1">
      <alignment horizontal="center"/>
    </xf>
    <xf numFmtId="0" fontId="0" fillId="5" borderId="12" xfId="0" applyFill="1" applyBorder="1" applyAlignment="1" applyProtection="1">
      <alignment horizontal="center"/>
    </xf>
    <xf numFmtId="0" fontId="1" fillId="5" borderId="43" xfId="0" applyFont="1" applyFill="1" applyBorder="1" applyAlignment="1" applyProtection="1">
      <alignment horizontal="center"/>
    </xf>
    <xf numFmtId="2" fontId="0" fillId="4" borderId="36" xfId="0" applyNumberFormat="1" applyFill="1" applyBorder="1" applyAlignment="1" applyProtection="1">
      <alignment horizontal="center"/>
    </xf>
    <xf numFmtId="2" fontId="0" fillId="4" borderId="41" xfId="0" applyNumberFormat="1" applyFill="1" applyBorder="1" applyAlignment="1" applyProtection="1">
      <alignment horizontal="center"/>
    </xf>
    <xf numFmtId="2" fontId="0" fillId="4" borderId="0" xfId="0" applyNumberFormat="1" applyFill="1" applyBorder="1" applyAlignment="1" applyProtection="1">
      <alignment horizontal="center"/>
    </xf>
    <xf numFmtId="2" fontId="0" fillId="4" borderId="42" xfId="0" applyNumberFormat="1" applyFill="1" applyBorder="1" applyAlignment="1" applyProtection="1">
      <alignment horizontal="center"/>
    </xf>
    <xf numFmtId="2" fontId="0" fillId="4" borderId="22" xfId="0" applyNumberFormat="1" applyFill="1" applyBorder="1" applyAlignment="1" applyProtection="1">
      <alignment horizontal="center"/>
    </xf>
    <xf numFmtId="2" fontId="0" fillId="4" borderId="29" xfId="0" applyNumberFormat="1" applyFill="1" applyBorder="1" applyAlignment="1" applyProtection="1">
      <alignment horizontal="center"/>
    </xf>
    <xf numFmtId="2" fontId="0" fillId="4" borderId="7" xfId="0" applyNumberFormat="1" applyFill="1" applyBorder="1" applyAlignment="1" applyProtection="1">
      <alignment horizontal="center"/>
    </xf>
    <xf numFmtId="0" fontId="0" fillId="2" borderId="10" xfId="0" applyFill="1" applyBorder="1" applyProtection="1"/>
    <xf numFmtId="0" fontId="0" fillId="2" borderId="18" xfId="0" applyFill="1" applyBorder="1" applyProtection="1"/>
    <xf numFmtId="0" fontId="0" fillId="2" borderId="0" xfId="0" applyFill="1" applyBorder="1" applyProtection="1"/>
    <xf numFmtId="0" fontId="0" fillId="2" borderId="13" xfId="0" applyFill="1" applyBorder="1" applyProtection="1"/>
    <xf numFmtId="0" fontId="0" fillId="2" borderId="7" xfId="0" applyFill="1" applyBorder="1" applyProtection="1"/>
    <xf numFmtId="0" fontId="0" fillId="2" borderId="16" xfId="0" applyFill="1" applyBorder="1" applyProtection="1"/>
    <xf numFmtId="0" fontId="0" fillId="3" borderId="36" xfId="0" applyFill="1" applyBorder="1" applyProtection="1"/>
    <xf numFmtId="1" fontId="0" fillId="2" borderId="31" xfId="0" applyNumberFormat="1" applyFont="1" applyFill="1" applyBorder="1" applyProtection="1">
      <protection locked="0"/>
    </xf>
    <xf numFmtId="0" fontId="4" fillId="5" borderId="37" xfId="0" applyFont="1" applyFill="1" applyBorder="1" applyAlignment="1" applyProtection="1">
      <alignment horizontal="center"/>
    </xf>
    <xf numFmtId="2" fontId="0" fillId="4" borderId="10" xfId="0" applyNumberFormat="1" applyFill="1" applyBorder="1" applyProtection="1"/>
    <xf numFmtId="0" fontId="1" fillId="4" borderId="18" xfId="0" applyFont="1" applyFill="1" applyBorder="1" applyProtection="1"/>
    <xf numFmtId="0" fontId="0" fillId="0" borderId="42" xfId="0" applyBorder="1" applyAlignment="1" applyProtection="1">
      <alignment horizontal="center"/>
      <protection locked="0"/>
    </xf>
    <xf numFmtId="0" fontId="1" fillId="2" borderId="10" xfId="0" applyFont="1" applyFill="1" applyBorder="1" applyAlignment="1" applyProtection="1">
      <alignment horizontal="center"/>
      <protection locked="0"/>
    </xf>
    <xf numFmtId="0" fontId="4" fillId="5" borderId="27" xfId="0" applyFont="1" applyFill="1" applyBorder="1" applyAlignment="1" applyProtection="1">
      <alignment horizontal="center"/>
    </xf>
    <xf numFmtId="0" fontId="1" fillId="4" borderId="0" xfId="0" applyFont="1" applyFill="1" applyBorder="1" applyAlignment="1" applyProtection="1">
      <alignment horizontal="left"/>
    </xf>
    <xf numFmtId="0" fontId="1" fillId="4" borderId="36" xfId="0" applyFont="1" applyFill="1" applyBorder="1" applyAlignment="1" applyProtection="1">
      <alignment horizontal="left"/>
    </xf>
    <xf numFmtId="1" fontId="0" fillId="4" borderId="44" xfId="0" applyNumberFormat="1" applyFill="1" applyBorder="1" applyProtection="1"/>
    <xf numFmtId="0" fontId="1" fillId="3" borderId="0" xfId="0" applyFont="1" applyFill="1" applyBorder="1" applyAlignment="1" applyProtection="1">
      <alignment horizontal="left"/>
    </xf>
    <xf numFmtId="2" fontId="0" fillId="3" borderId="0" xfId="0" applyNumberFormat="1" applyFill="1" applyBorder="1" applyProtection="1"/>
    <xf numFmtId="164" fontId="0" fillId="2" borderId="7" xfId="0" applyNumberFormat="1" applyFill="1" applyBorder="1" applyProtection="1">
      <protection locked="0"/>
    </xf>
    <xf numFmtId="164" fontId="0" fillId="2" borderId="30" xfId="0" applyNumberFormat="1" applyFill="1" applyBorder="1" applyProtection="1">
      <protection locked="0"/>
    </xf>
    <xf numFmtId="0" fontId="0" fillId="3" borderId="13" xfId="0" applyFill="1" applyBorder="1" applyAlignment="1" applyProtection="1">
      <alignment vertical="center"/>
    </xf>
    <xf numFmtId="0" fontId="0" fillId="3" borderId="0" xfId="0" applyFill="1" applyAlignment="1" applyProtection="1">
      <alignment vertical="center"/>
    </xf>
    <xf numFmtId="0" fontId="3" fillId="4" borderId="13" xfId="0" applyFont="1" applyFill="1" applyBorder="1" applyAlignment="1" applyProtection="1">
      <alignment vertical="center" wrapText="1"/>
    </xf>
    <xf numFmtId="1" fontId="0" fillId="2" borderId="5" xfId="0" applyNumberFormat="1" applyFill="1" applyBorder="1" applyAlignment="1" applyProtection="1">
      <protection locked="0"/>
    </xf>
    <xf numFmtId="1" fontId="0" fillId="2" borderId="45" xfId="0" applyNumberFormat="1" applyFont="1" applyFill="1" applyBorder="1" applyProtection="1">
      <protection locked="0"/>
    </xf>
    <xf numFmtId="0" fontId="0" fillId="2" borderId="17" xfId="0" applyFont="1" applyFill="1" applyBorder="1" applyAlignment="1" applyProtection="1">
      <alignment horizontal="left"/>
      <protection locked="0"/>
    </xf>
    <xf numFmtId="164" fontId="0" fillId="2" borderId="31" xfId="0" applyNumberFormat="1" applyFill="1" applyBorder="1" applyProtection="1">
      <protection locked="0"/>
    </xf>
    <xf numFmtId="0" fontId="1" fillId="3" borderId="7" xfId="0" applyFont="1" applyFill="1" applyBorder="1" applyAlignment="1" applyProtection="1">
      <alignment horizontal="left"/>
    </xf>
    <xf numFmtId="165" fontId="0" fillId="2" borderId="45" xfId="0" applyNumberFormat="1" applyFill="1" applyBorder="1" applyProtection="1">
      <protection locked="0"/>
    </xf>
    <xf numFmtId="164" fontId="0" fillId="2" borderId="45" xfId="0" applyNumberFormat="1" applyFill="1" applyBorder="1" applyProtection="1">
      <protection locked="0"/>
    </xf>
    <xf numFmtId="164" fontId="0" fillId="2" borderId="39" xfId="0" applyNumberFormat="1" applyFill="1" applyBorder="1" applyProtection="1">
      <protection locked="0"/>
    </xf>
    <xf numFmtId="1" fontId="0" fillId="2" borderId="4" xfId="0" applyNumberFormat="1" applyFill="1" applyBorder="1" applyProtection="1">
      <protection locked="0"/>
    </xf>
    <xf numFmtId="165" fontId="0" fillId="2" borderId="4" xfId="0" applyNumberFormat="1" applyFill="1" applyBorder="1" applyProtection="1">
      <protection locked="0"/>
    </xf>
    <xf numFmtId="0" fontId="1" fillId="4" borderId="34" xfId="0" applyFont="1" applyFill="1" applyBorder="1" applyProtection="1"/>
    <xf numFmtId="1" fontId="0" fillId="4" borderId="40" xfId="0" applyNumberFormat="1" applyFill="1" applyBorder="1" applyProtection="1"/>
    <xf numFmtId="0" fontId="0" fillId="3" borderId="10" xfId="0" applyFill="1" applyBorder="1" applyProtection="1"/>
    <xf numFmtId="11" fontId="0" fillId="4" borderId="42" xfId="0" applyNumberFormat="1" applyFill="1" applyBorder="1" applyAlignment="1" applyProtection="1">
      <alignment horizontal="center"/>
    </xf>
    <xf numFmtId="11" fontId="0" fillId="4" borderId="41" xfId="0" applyNumberFormat="1" applyFill="1" applyBorder="1" applyAlignment="1" applyProtection="1">
      <alignment horizontal="center"/>
    </xf>
    <xf numFmtId="11" fontId="0" fillId="4" borderId="29" xfId="0" applyNumberFormat="1" applyFill="1" applyBorder="1" applyAlignment="1" applyProtection="1">
      <alignment horizontal="center"/>
    </xf>
    <xf numFmtId="0" fontId="0" fillId="2" borderId="51" xfId="0" applyFill="1" applyBorder="1" applyAlignment="1" applyProtection="1">
      <alignment horizontal="center"/>
      <protection locked="0"/>
    </xf>
    <xf numFmtId="0" fontId="0" fillId="2" borderId="52" xfId="0" applyFill="1" applyBorder="1" applyAlignment="1" applyProtection="1">
      <alignment horizontal="center"/>
      <protection locked="0"/>
    </xf>
    <xf numFmtId="0" fontId="0" fillId="2" borderId="53" xfId="0" applyFill="1" applyBorder="1" applyAlignment="1" applyProtection="1">
      <alignment horizontal="center"/>
      <protection locked="0"/>
    </xf>
    <xf numFmtId="0" fontId="0" fillId="2" borderId="54" xfId="0" applyFill="1" applyBorder="1" applyAlignment="1" applyProtection="1">
      <alignment horizontal="center"/>
      <protection locked="0"/>
    </xf>
    <xf numFmtId="0" fontId="0" fillId="2" borderId="50" xfId="0" applyFill="1" applyBorder="1" applyAlignment="1" applyProtection="1">
      <alignment horizontal="center"/>
      <protection locked="0"/>
    </xf>
    <xf numFmtId="11" fontId="0" fillId="4" borderId="10" xfId="0" applyNumberFormat="1" applyFont="1" applyFill="1" applyBorder="1" applyProtection="1"/>
    <xf numFmtId="0" fontId="0" fillId="4" borderId="18" xfId="0" applyFont="1" applyFill="1" applyBorder="1" applyProtection="1"/>
    <xf numFmtId="2" fontId="0" fillId="2" borderId="24" xfId="0" applyNumberFormat="1" applyFill="1" applyBorder="1" applyProtection="1">
      <protection locked="0"/>
    </xf>
    <xf numFmtId="0" fontId="0" fillId="4" borderId="7" xfId="0" applyFill="1" applyBorder="1" applyProtection="1"/>
    <xf numFmtId="0" fontId="0" fillId="2" borderId="0" xfId="0" applyFill="1" applyBorder="1" applyAlignment="1" applyProtection="1">
      <alignment horizontal="center"/>
    </xf>
    <xf numFmtId="1" fontId="0" fillId="4" borderId="0" xfId="0" applyNumberFormat="1" applyFill="1" applyProtection="1"/>
    <xf numFmtId="2" fontId="0" fillId="4" borderId="49" xfId="0" applyNumberFormat="1" applyFill="1" applyBorder="1" applyProtection="1"/>
    <xf numFmtId="2" fontId="0" fillId="4" borderId="2" xfId="0" applyNumberFormat="1" applyFill="1" applyBorder="1" applyProtection="1"/>
    <xf numFmtId="1" fontId="0" fillId="2" borderId="1" xfId="0" applyNumberFormat="1" applyFill="1" applyBorder="1" applyProtection="1">
      <protection locked="0"/>
    </xf>
    <xf numFmtId="0" fontId="0" fillId="0" borderId="0" xfId="0" applyAlignment="1" applyProtection="1">
      <alignment vertical="center"/>
    </xf>
    <xf numFmtId="0" fontId="0" fillId="2" borderId="33" xfId="0" applyFill="1" applyBorder="1" applyProtection="1">
      <protection locked="0"/>
    </xf>
    <xf numFmtId="1" fontId="0" fillId="2" borderId="24" xfId="0" applyNumberFormat="1" applyFill="1" applyBorder="1" applyProtection="1">
      <protection locked="0"/>
    </xf>
    <xf numFmtId="0" fontId="4" fillId="5" borderId="27" xfId="0" applyFont="1" applyFill="1" applyBorder="1" applyAlignment="1" applyProtection="1">
      <alignment horizontal="center"/>
    </xf>
    <xf numFmtId="166" fontId="0" fillId="3" borderId="0" xfId="0" applyNumberFormat="1" applyFill="1" applyProtection="1"/>
    <xf numFmtId="166" fontId="0" fillId="4" borderId="18" xfId="0" applyNumberFormat="1" applyFill="1" applyBorder="1" applyProtection="1"/>
    <xf numFmtId="166" fontId="0" fillId="4" borderId="13" xfId="0" applyNumberFormat="1" applyFill="1" applyBorder="1" applyProtection="1"/>
    <xf numFmtId="166" fontId="0" fillId="4" borderId="16" xfId="0" applyNumberFormat="1" applyFill="1" applyBorder="1" applyProtection="1"/>
    <xf numFmtId="166" fontId="0" fillId="5" borderId="23" xfId="0" applyNumberFormat="1" applyFill="1" applyBorder="1" applyAlignment="1" applyProtection="1">
      <alignment horizontal="center"/>
    </xf>
    <xf numFmtId="166" fontId="0" fillId="0" borderId="0" xfId="0" applyNumberFormat="1" applyProtection="1"/>
    <xf numFmtId="11" fontId="0" fillId="3" borderId="0" xfId="0" applyNumberFormat="1" applyFill="1" applyProtection="1"/>
    <xf numFmtId="11" fontId="0" fillId="2" borderId="10" xfId="0" applyNumberFormat="1" applyFill="1" applyBorder="1" applyProtection="1"/>
    <xf numFmtId="11" fontId="0" fillId="2" borderId="0" xfId="0" applyNumberFormat="1" applyFill="1" applyBorder="1" applyProtection="1"/>
    <xf numFmtId="11" fontId="0" fillId="2" borderId="7" xfId="0" applyNumberFormat="1" applyFill="1" applyBorder="1" applyProtection="1"/>
    <xf numFmtId="11" fontId="0" fillId="5" borderId="11" xfId="0" applyNumberFormat="1" applyFill="1" applyBorder="1" applyAlignment="1" applyProtection="1">
      <alignment horizontal="center"/>
    </xf>
    <xf numFmtId="11" fontId="0" fillId="0" borderId="0" xfId="0" applyNumberFormat="1" applyProtection="1"/>
    <xf numFmtId="0" fontId="0" fillId="4" borderId="14" xfId="0" applyFill="1" applyBorder="1" applyProtection="1"/>
    <xf numFmtId="0" fontId="1" fillId="4" borderId="7" xfId="0" applyFont="1" applyFill="1" applyBorder="1" applyProtection="1"/>
    <xf numFmtId="0" fontId="0" fillId="4" borderId="17" xfId="0" applyFont="1" applyFill="1" applyBorder="1" applyAlignment="1" applyProtection="1">
      <alignment horizontal="left"/>
    </xf>
    <xf numFmtId="164" fontId="0" fillId="4" borderId="10" xfId="0" applyNumberFormat="1" applyFill="1" applyBorder="1" applyProtection="1"/>
    <xf numFmtId="0" fontId="0" fillId="4" borderId="10" xfId="0" applyFont="1" applyFill="1" applyBorder="1" applyProtection="1"/>
    <xf numFmtId="0" fontId="0" fillId="4" borderId="0" xfId="0" applyFont="1" applyFill="1" applyBorder="1" applyProtection="1"/>
    <xf numFmtId="164" fontId="0" fillId="4" borderId="0" xfId="0" applyNumberFormat="1" applyFont="1" applyFill="1" applyBorder="1" applyProtection="1"/>
    <xf numFmtId="1" fontId="0" fillId="4" borderId="7" xfId="0" applyNumberFormat="1" applyFont="1" applyFill="1" applyBorder="1" applyProtection="1"/>
    <xf numFmtId="1" fontId="0" fillId="4" borderId="10" xfId="0" applyNumberFormat="1" applyFill="1" applyBorder="1" applyProtection="1"/>
    <xf numFmtId="0" fontId="0" fillId="4" borderId="42" xfId="0" applyFill="1" applyBorder="1" applyAlignment="1" applyProtection="1">
      <alignment horizontal="center"/>
    </xf>
    <xf numFmtId="0" fontId="1" fillId="4" borderId="10" xfId="0" applyFont="1" applyFill="1" applyBorder="1" applyAlignment="1" applyProtection="1">
      <alignment horizontal="center"/>
    </xf>
    <xf numFmtId="2" fontId="0" fillId="4" borderId="0" xfId="0" applyNumberFormat="1" applyFill="1" applyBorder="1" applyProtection="1"/>
    <xf numFmtId="2" fontId="0" fillId="2" borderId="55" xfId="0" applyNumberFormat="1" applyFill="1" applyBorder="1" applyProtection="1">
      <protection locked="0"/>
    </xf>
    <xf numFmtId="2" fontId="0" fillId="2" borderId="48" xfId="0" applyNumberFormat="1" applyFill="1" applyBorder="1" applyProtection="1">
      <protection locked="0"/>
    </xf>
    <xf numFmtId="164" fontId="0" fillId="4" borderId="49" xfId="0" applyNumberFormat="1" applyFill="1" applyBorder="1" applyProtection="1"/>
    <xf numFmtId="0" fontId="4" fillId="5" borderId="27" xfId="0" applyFont="1" applyFill="1" applyBorder="1" applyAlignment="1" applyProtection="1">
      <alignment horizontal="center"/>
    </xf>
    <xf numFmtId="1" fontId="0" fillId="4" borderId="0" xfId="0" applyNumberFormat="1" applyFont="1" applyFill="1" applyBorder="1" applyProtection="1"/>
    <xf numFmtId="164" fontId="0" fillId="2" borderId="1" xfId="0" applyNumberFormat="1" applyFill="1" applyBorder="1" applyProtection="1">
      <protection locked="0"/>
    </xf>
    <xf numFmtId="0" fontId="0" fillId="4" borderId="40" xfId="0" applyFill="1" applyBorder="1" applyProtection="1"/>
    <xf numFmtId="164" fontId="0" fillId="4" borderId="40" xfId="0" applyNumberFormat="1" applyFill="1" applyBorder="1" applyProtection="1"/>
    <xf numFmtId="164" fontId="0" fillId="0" borderId="1" xfId="0" applyNumberFormat="1" applyBorder="1" applyProtection="1">
      <protection locked="0"/>
    </xf>
    <xf numFmtId="0" fontId="0" fillId="4" borderId="14" xfId="0" applyFont="1" applyFill="1" applyBorder="1" applyAlignment="1" applyProtection="1">
      <alignment horizontal="left"/>
    </xf>
    <xf numFmtId="164" fontId="0" fillId="2" borderId="6" xfId="0" applyNumberFormat="1" applyFont="1" applyFill="1" applyBorder="1" applyProtection="1">
      <protection locked="0"/>
    </xf>
    <xf numFmtId="164" fontId="0" fillId="2" borderId="45" xfId="0" applyNumberFormat="1" applyFont="1" applyFill="1" applyBorder="1" applyProtection="1">
      <protection locked="0"/>
    </xf>
    <xf numFmtId="0" fontId="1" fillId="4" borderId="22" xfId="0" applyFont="1" applyFill="1" applyBorder="1" applyAlignment="1" applyProtection="1">
      <alignment horizontal="left"/>
    </xf>
    <xf numFmtId="0" fontId="1" fillId="4" borderId="7" xfId="0" applyFont="1" applyFill="1" applyBorder="1" applyAlignment="1" applyProtection="1">
      <alignment horizontal="left"/>
    </xf>
    <xf numFmtId="0" fontId="1" fillId="4" borderId="36" xfId="0" applyFont="1" applyFill="1" applyBorder="1" applyAlignment="1" applyProtection="1">
      <alignment horizontal="left"/>
    </xf>
    <xf numFmtId="0" fontId="1" fillId="4" borderId="0" xfId="0" applyFont="1" applyFill="1" applyBorder="1" applyAlignment="1" applyProtection="1">
      <alignment horizontal="left"/>
    </xf>
    <xf numFmtId="0" fontId="1" fillId="4" borderId="28" xfId="0" applyFont="1" applyFill="1" applyBorder="1" applyAlignment="1" applyProtection="1">
      <alignment horizontal="left"/>
    </xf>
    <xf numFmtId="0" fontId="1" fillId="4" borderId="10" xfId="0" applyFont="1" applyFill="1" applyBorder="1" applyAlignment="1" applyProtection="1">
      <alignment horizontal="left"/>
    </xf>
    <xf numFmtId="0" fontId="4" fillId="5" borderId="25" xfId="0" applyFont="1" applyFill="1" applyBorder="1" applyAlignment="1" applyProtection="1">
      <alignment horizontal="center"/>
    </xf>
    <xf numFmtId="0" fontId="4" fillId="5" borderId="11" xfId="0" applyFont="1" applyFill="1" applyBorder="1" applyAlignment="1" applyProtection="1">
      <alignment horizontal="center"/>
    </xf>
    <xf numFmtId="0" fontId="4" fillId="5" borderId="12" xfId="0" applyFont="1" applyFill="1" applyBorder="1" applyAlignment="1" applyProtection="1">
      <alignment horizontal="center"/>
    </xf>
    <xf numFmtId="0" fontId="4" fillId="5" borderId="21" xfId="0" applyFont="1" applyFill="1" applyBorder="1" applyAlignment="1" applyProtection="1">
      <alignment horizontal="center"/>
    </xf>
    <xf numFmtId="0" fontId="4" fillId="5" borderId="28" xfId="0" applyFont="1" applyFill="1" applyBorder="1" applyAlignment="1" applyProtection="1">
      <alignment horizontal="center" wrapText="1"/>
    </xf>
    <xf numFmtId="0" fontId="4" fillId="5" borderId="18" xfId="0" applyFont="1" applyFill="1" applyBorder="1" applyAlignment="1" applyProtection="1">
      <alignment horizontal="center"/>
    </xf>
    <xf numFmtId="0" fontId="4" fillId="5" borderId="36" xfId="0" applyFont="1" applyFill="1" applyBorder="1" applyAlignment="1" applyProtection="1">
      <alignment horizontal="center"/>
    </xf>
    <xf numFmtId="0" fontId="4" fillId="5" borderId="13" xfId="0" applyFont="1" applyFill="1" applyBorder="1" applyAlignment="1" applyProtection="1">
      <alignment horizontal="center"/>
    </xf>
    <xf numFmtId="0" fontId="0" fillId="4" borderId="22" xfId="0" applyFill="1" applyBorder="1" applyAlignment="1" applyProtection="1">
      <alignment horizontal="left"/>
    </xf>
    <xf numFmtId="0" fontId="0" fillId="4" borderId="7" xfId="0" applyFont="1" applyFill="1" applyBorder="1" applyAlignment="1" applyProtection="1">
      <alignment horizontal="left"/>
    </xf>
    <xf numFmtId="164" fontId="0" fillId="2" borderId="6" xfId="0" applyNumberFormat="1" applyFill="1" applyBorder="1" applyAlignment="1" applyProtection="1">
      <alignment horizontal="center"/>
      <protection locked="0"/>
    </xf>
    <xf numFmtId="164" fontId="0" fillId="2" borderId="47" xfId="0" applyNumberFormat="1" applyFill="1" applyBorder="1" applyAlignment="1" applyProtection="1">
      <alignment horizontal="center"/>
      <protection locked="0"/>
    </xf>
    <xf numFmtId="0" fontId="0" fillId="2" borderId="22" xfId="0" applyFill="1" applyBorder="1" applyAlignment="1" applyProtection="1">
      <alignment horizontal="center"/>
    </xf>
    <xf numFmtId="0" fontId="0" fillId="2" borderId="7" xfId="0" applyFill="1" applyBorder="1" applyAlignment="1" applyProtection="1">
      <alignment horizontal="center"/>
    </xf>
    <xf numFmtId="0" fontId="0" fillId="2" borderId="16" xfId="0" applyFill="1" applyBorder="1" applyAlignment="1" applyProtection="1">
      <alignment horizontal="center"/>
    </xf>
    <xf numFmtId="0" fontId="0" fillId="4" borderId="36" xfId="0" applyFont="1" applyFill="1" applyBorder="1" applyAlignment="1" applyProtection="1">
      <alignment horizontal="left"/>
    </xf>
    <xf numFmtId="0" fontId="0" fillId="4" borderId="3" xfId="0" applyFont="1" applyFill="1" applyBorder="1" applyAlignment="1" applyProtection="1">
      <alignment horizontal="left"/>
    </xf>
    <xf numFmtId="0" fontId="0" fillId="4" borderId="36" xfId="0" applyFill="1" applyBorder="1" applyAlignment="1" applyProtection="1">
      <alignment horizontal="left"/>
    </xf>
    <xf numFmtId="0" fontId="0" fillId="4" borderId="28" xfId="0" applyFont="1" applyFill="1" applyBorder="1" applyAlignment="1" applyProtection="1">
      <alignment horizontal="left"/>
    </xf>
    <xf numFmtId="0" fontId="0" fillId="4" borderId="9" xfId="0" applyFont="1" applyFill="1" applyBorder="1" applyAlignment="1" applyProtection="1">
      <alignment horizontal="left"/>
    </xf>
    <xf numFmtId="0" fontId="6" fillId="2" borderId="7"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0" fontId="7" fillId="2" borderId="16" xfId="0" applyFont="1" applyFill="1" applyBorder="1" applyAlignment="1" applyProtection="1">
      <alignment horizontal="center" vertical="center" wrapText="1"/>
    </xf>
    <xf numFmtId="164" fontId="0" fillId="2" borderId="24" xfId="0" applyNumberFormat="1" applyFill="1" applyBorder="1" applyAlignment="1" applyProtection="1">
      <alignment horizontal="center"/>
      <protection locked="0"/>
    </xf>
    <xf numFmtId="164" fontId="0" fillId="2" borderId="46" xfId="0" applyNumberFormat="1" applyFill="1" applyBorder="1" applyAlignment="1" applyProtection="1">
      <alignment horizontal="center"/>
      <protection locked="0"/>
    </xf>
    <xf numFmtId="0" fontId="1" fillId="4" borderId="36" xfId="0" applyFont="1" applyFill="1" applyBorder="1" applyAlignment="1" applyProtection="1">
      <alignment horizontal="left" wrapText="1"/>
    </xf>
    <xf numFmtId="0" fontId="1" fillId="4" borderId="3" xfId="0" applyFont="1" applyFill="1" applyBorder="1" applyAlignment="1" applyProtection="1">
      <alignment horizontal="left"/>
    </xf>
    <xf numFmtId="0" fontId="0" fillId="4" borderId="28" xfId="0" applyFill="1" applyBorder="1" applyAlignment="1" applyProtection="1">
      <alignment horizontal="left"/>
    </xf>
    <xf numFmtId="0" fontId="0" fillId="4" borderId="9" xfId="0" applyFill="1" applyBorder="1" applyAlignment="1" applyProtection="1">
      <alignment horizontal="left"/>
    </xf>
    <xf numFmtId="0" fontId="1" fillId="4" borderId="9" xfId="0" applyFont="1" applyFill="1" applyBorder="1" applyAlignment="1" applyProtection="1">
      <alignment horizontal="left"/>
    </xf>
    <xf numFmtId="0" fontId="1" fillId="4" borderId="32" xfId="0" applyFont="1" applyFill="1" applyBorder="1" applyAlignment="1" applyProtection="1">
      <alignment horizontal="left"/>
    </xf>
    <xf numFmtId="0" fontId="0" fillId="4" borderId="0" xfId="0" applyFill="1" applyBorder="1" applyAlignment="1" applyProtection="1">
      <alignment horizontal="left"/>
    </xf>
    <xf numFmtId="0" fontId="6" fillId="5" borderId="26" xfId="0" applyFont="1" applyFill="1" applyBorder="1" applyAlignment="1" applyProtection="1">
      <alignment horizontal="center" vertical="center" wrapText="1"/>
    </xf>
    <xf numFmtId="0" fontId="7" fillId="5" borderId="23" xfId="0" applyFont="1" applyFill="1" applyBorder="1" applyAlignment="1" applyProtection="1">
      <alignment horizontal="center" vertical="center" wrapText="1"/>
    </xf>
    <xf numFmtId="0" fontId="7" fillId="5" borderId="27" xfId="0" applyFont="1" applyFill="1" applyBorder="1" applyAlignment="1" applyProtection="1">
      <alignment horizontal="center" vertical="center" wrapText="1"/>
    </xf>
    <xf numFmtId="0" fontId="0" fillId="4" borderId="10" xfId="0" applyFill="1" applyBorder="1" applyAlignment="1" applyProtection="1">
      <alignment horizontal="left"/>
    </xf>
    <xf numFmtId="0" fontId="5" fillId="5" borderId="10" xfId="0" applyFont="1" applyFill="1" applyBorder="1" applyAlignment="1" applyProtection="1">
      <alignment horizontal="center" wrapText="1"/>
    </xf>
    <xf numFmtId="0" fontId="5" fillId="5" borderId="10" xfId="0" applyFont="1" applyFill="1" applyBorder="1" applyAlignment="1" applyProtection="1">
      <alignment horizontal="center"/>
    </xf>
    <xf numFmtId="0" fontId="5" fillId="5" borderId="18" xfId="0" applyFont="1" applyFill="1" applyBorder="1" applyAlignment="1" applyProtection="1">
      <alignment horizontal="center"/>
    </xf>
    <xf numFmtId="0" fontId="5" fillId="5" borderId="26" xfId="0" applyFont="1" applyFill="1" applyBorder="1" applyAlignment="1" applyProtection="1">
      <alignment horizontal="center" wrapText="1"/>
    </xf>
    <xf numFmtId="0" fontId="5" fillId="5" borderId="23" xfId="0" applyFont="1" applyFill="1" applyBorder="1" applyAlignment="1" applyProtection="1">
      <alignment horizontal="center" wrapText="1"/>
    </xf>
    <xf numFmtId="0" fontId="5" fillId="5" borderId="23" xfId="0" applyFont="1" applyFill="1" applyBorder="1" applyAlignment="1" applyProtection="1">
      <alignment horizontal="center"/>
    </xf>
    <xf numFmtId="0" fontId="5" fillId="5" borderId="27" xfId="0" applyFont="1" applyFill="1" applyBorder="1" applyAlignment="1" applyProtection="1">
      <alignment horizontal="center"/>
    </xf>
    <xf numFmtId="0" fontId="0" fillId="4" borderId="7" xfId="0" applyFill="1" applyBorder="1" applyAlignment="1" applyProtection="1">
      <alignment horizontal="left"/>
    </xf>
    <xf numFmtId="0" fontId="0" fillId="0" borderId="8" xfId="0" applyBorder="1" applyAlignment="1" applyProtection="1">
      <alignment horizontal="center"/>
      <protection locked="0"/>
    </xf>
    <xf numFmtId="0" fontId="0" fillId="0" borderId="19" xfId="0" applyBorder="1" applyAlignment="1" applyProtection="1">
      <alignment horizontal="center"/>
      <protection locked="0"/>
    </xf>
    <xf numFmtId="0" fontId="0" fillId="2" borderId="10" xfId="0" applyFill="1" applyBorder="1" applyAlignment="1" applyProtection="1">
      <alignment horizontal="center"/>
    </xf>
    <xf numFmtId="0" fontId="0" fillId="2" borderId="18" xfId="0" applyFill="1" applyBorder="1" applyAlignment="1" applyProtection="1">
      <alignment horizontal="center"/>
    </xf>
    <xf numFmtId="0" fontId="0" fillId="4" borderId="28" xfId="0" applyFill="1" applyBorder="1" applyAlignment="1" applyProtection="1">
      <alignment horizontal="left" vertical="center" wrapText="1"/>
    </xf>
    <xf numFmtId="0" fontId="0" fillId="4" borderId="18" xfId="0" applyFont="1" applyFill="1" applyBorder="1" applyAlignment="1" applyProtection="1">
      <alignment horizontal="left" vertical="center" wrapText="1"/>
    </xf>
    <xf numFmtId="0" fontId="0" fillId="4" borderId="22" xfId="0" applyFont="1" applyFill="1" applyBorder="1" applyAlignment="1" applyProtection="1">
      <alignment horizontal="left" vertical="center" wrapText="1"/>
    </xf>
    <xf numFmtId="0" fontId="0" fillId="4" borderId="16" xfId="0" applyFont="1" applyFill="1" applyBorder="1" applyAlignment="1" applyProtection="1">
      <alignment horizontal="left" vertical="center" wrapText="1"/>
    </xf>
    <xf numFmtId="0" fontId="4" fillId="5" borderId="26" xfId="0" applyFont="1" applyFill="1" applyBorder="1" applyAlignment="1" applyProtection="1">
      <alignment horizontal="center"/>
    </xf>
    <xf numFmtId="0" fontId="4" fillId="5" borderId="23" xfId="0" applyFont="1" applyFill="1" applyBorder="1" applyAlignment="1" applyProtection="1">
      <alignment horizontal="center"/>
    </xf>
    <xf numFmtId="0" fontId="4" fillId="5" borderId="27" xfId="0" applyFont="1" applyFill="1" applyBorder="1" applyAlignment="1" applyProtection="1">
      <alignment horizontal="center"/>
    </xf>
    <xf numFmtId="0" fontId="0" fillId="4" borderId="10" xfId="0" applyFont="1" applyFill="1" applyBorder="1" applyAlignment="1" applyProtection="1">
      <alignment horizontal="left"/>
    </xf>
    <xf numFmtId="0" fontId="0" fillId="2" borderId="38" xfId="0" applyFont="1" applyFill="1" applyBorder="1" applyAlignment="1" applyProtection="1">
      <alignment horizontal="center"/>
      <protection locked="0"/>
    </xf>
    <xf numFmtId="0" fontId="0" fillId="2" borderId="18" xfId="0" applyFont="1" applyFill="1" applyBorder="1" applyAlignment="1" applyProtection="1">
      <alignment horizontal="center"/>
      <protection locked="0"/>
    </xf>
    <xf numFmtId="0" fontId="0" fillId="4" borderId="32" xfId="0" applyFont="1" applyFill="1" applyBorder="1" applyAlignment="1" applyProtection="1">
      <alignment horizontal="left"/>
    </xf>
    <xf numFmtId="164" fontId="0" fillId="2" borderId="8" xfId="0" applyNumberFormat="1" applyFill="1" applyBorder="1" applyAlignment="1" applyProtection="1">
      <alignment horizontal="center"/>
      <protection locked="0"/>
    </xf>
    <xf numFmtId="164" fontId="0" fillId="2" borderId="19" xfId="0" applyNumberFormat="1" applyFill="1" applyBorder="1" applyAlignment="1" applyProtection="1">
      <alignment horizontal="center"/>
      <protection locked="0"/>
    </xf>
    <xf numFmtId="0" fontId="4" fillId="5" borderId="28" xfId="0" applyFont="1" applyFill="1" applyBorder="1" applyAlignment="1" applyProtection="1">
      <alignment horizontal="center"/>
    </xf>
    <xf numFmtId="0" fontId="4" fillId="5" borderId="10" xfId="0" applyFont="1" applyFill="1" applyBorder="1" applyAlignment="1" applyProtection="1">
      <alignment horizontal="center"/>
    </xf>
    <xf numFmtId="0" fontId="0" fillId="3" borderId="10" xfId="0" applyFont="1" applyFill="1" applyBorder="1" applyAlignment="1" applyProtection="1">
      <alignment horizontal="left"/>
    </xf>
    <xf numFmtId="0" fontId="0" fillId="0" borderId="6" xfId="0" applyBorder="1" applyAlignment="1" applyProtection="1">
      <alignment horizontal="center"/>
      <protection locked="0"/>
    </xf>
    <xf numFmtId="0" fontId="0" fillId="0" borderId="49" xfId="0" applyBorder="1" applyAlignment="1" applyProtection="1">
      <alignment horizontal="center"/>
      <protection locked="0"/>
    </xf>
    <xf numFmtId="0" fontId="0" fillId="4" borderId="0" xfId="0" applyFont="1" applyFill="1" applyBorder="1" applyAlignment="1" applyProtection="1">
      <alignment horizontal="left"/>
    </xf>
    <xf numFmtId="0" fontId="0" fillId="4" borderId="22" xfId="0" applyFont="1" applyFill="1" applyBorder="1" applyAlignment="1" applyProtection="1">
      <alignment horizontal="left"/>
    </xf>
    <xf numFmtId="164" fontId="0" fillId="4" borderId="0" xfId="0" applyNumberFormat="1" applyFill="1" applyBorder="1" applyAlignment="1" applyProtection="1">
      <alignment horizontal="center"/>
    </xf>
    <xf numFmtId="164" fontId="0" fillId="4" borderId="13" xfId="0" applyNumberFormat="1" applyFill="1" applyBorder="1" applyAlignment="1" applyProtection="1">
      <alignment horizontal="center"/>
    </xf>
    <xf numFmtId="0" fontId="0" fillId="2" borderId="26" xfId="0" quotePrefix="1" applyFont="1" applyFill="1" applyBorder="1" applyAlignment="1" applyProtection="1">
      <alignment horizontal="left" vertical="center" wrapText="1"/>
    </xf>
    <xf numFmtId="0" fontId="0" fillId="2" borderId="23" xfId="0" applyFont="1" applyFill="1" applyBorder="1" applyAlignment="1" applyProtection="1">
      <alignment horizontal="left" vertical="center" wrapText="1"/>
    </xf>
    <xf numFmtId="0" fontId="0" fillId="2" borderId="27" xfId="0" applyFont="1" applyFill="1" applyBorder="1" applyAlignment="1" applyProtection="1">
      <alignment horizontal="left" vertical="center" wrapText="1"/>
    </xf>
    <xf numFmtId="0" fontId="0" fillId="4" borderId="3" xfId="0" applyFill="1" applyBorder="1" applyAlignment="1" applyProtection="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988407699037624E-2"/>
          <c:y val="6.7544566145756199E-2"/>
          <c:w val="0.89745603674540686"/>
          <c:h val="0.66345062799353505"/>
        </c:manualLayout>
      </c:layout>
      <c:barChart>
        <c:barDir val="col"/>
        <c:grouping val="clustered"/>
        <c:varyColors val="0"/>
        <c:ser>
          <c:idx val="0"/>
          <c:order val="0"/>
          <c:tx>
            <c:v>Aundance</c:v>
          </c:tx>
          <c:invertIfNegative val="0"/>
          <c:cat>
            <c:numRef>
              <c:f>Particle!$B$18:$B$36</c:f>
              <c:numCache>
                <c:formatCode>General</c:formatCode>
                <c:ptCount val="19"/>
                <c:pt idx="0">
                  <c:v>2</c:v>
                </c:pt>
                <c:pt idx="1">
                  <c:v>2.8</c:v>
                </c:pt>
                <c:pt idx="2">
                  <c:v>3.9</c:v>
                </c:pt>
                <c:pt idx="3">
                  <c:v>5.5</c:v>
                </c:pt>
                <c:pt idx="4">
                  <c:v>7.8</c:v>
                </c:pt>
                <c:pt idx="5">
                  <c:v>11</c:v>
                </c:pt>
                <c:pt idx="6">
                  <c:v>15.6</c:v>
                </c:pt>
                <c:pt idx="7">
                  <c:v>22.1</c:v>
                </c:pt>
                <c:pt idx="8">
                  <c:v>31.2</c:v>
                </c:pt>
                <c:pt idx="9">
                  <c:v>44.2</c:v>
                </c:pt>
                <c:pt idx="10">
                  <c:v>62.5</c:v>
                </c:pt>
                <c:pt idx="11">
                  <c:v>88.4</c:v>
                </c:pt>
                <c:pt idx="12">
                  <c:v>125</c:v>
                </c:pt>
                <c:pt idx="13">
                  <c:v>177</c:v>
                </c:pt>
                <c:pt idx="14">
                  <c:v>250</c:v>
                </c:pt>
                <c:pt idx="15">
                  <c:v>354</c:v>
                </c:pt>
                <c:pt idx="16">
                  <c:v>500</c:v>
                </c:pt>
                <c:pt idx="17">
                  <c:v>707</c:v>
                </c:pt>
                <c:pt idx="18">
                  <c:v>1000</c:v>
                </c:pt>
              </c:numCache>
            </c:numRef>
          </c:cat>
          <c:val>
            <c:numRef>
              <c:f>Particle!$C$18:$C$36</c:f>
              <c:numCache>
                <c:formatCode>General</c:formatCode>
                <c:ptCount val="19"/>
                <c:pt idx="0">
                  <c:v>1</c:v>
                </c:pt>
                <c:pt idx="1">
                  <c:v>2</c:v>
                </c:pt>
                <c:pt idx="2">
                  <c:v>4</c:v>
                </c:pt>
                <c:pt idx="3">
                  <c:v>7</c:v>
                </c:pt>
                <c:pt idx="4">
                  <c:v>9</c:v>
                </c:pt>
                <c:pt idx="5">
                  <c:v>10</c:v>
                </c:pt>
                <c:pt idx="6">
                  <c:v>9</c:v>
                </c:pt>
                <c:pt idx="7">
                  <c:v>9</c:v>
                </c:pt>
                <c:pt idx="8">
                  <c:v>7</c:v>
                </c:pt>
                <c:pt idx="9">
                  <c:v>4</c:v>
                </c:pt>
                <c:pt idx="10">
                  <c:v>6</c:v>
                </c:pt>
                <c:pt idx="11">
                  <c:v>11</c:v>
                </c:pt>
                <c:pt idx="12">
                  <c:v>17</c:v>
                </c:pt>
                <c:pt idx="13">
                  <c:v>4</c:v>
                </c:pt>
                <c:pt idx="14">
                  <c:v>2</c:v>
                </c:pt>
                <c:pt idx="15">
                  <c:v>0</c:v>
                </c:pt>
                <c:pt idx="16">
                  <c:v>0</c:v>
                </c:pt>
                <c:pt idx="17">
                  <c:v>0</c:v>
                </c:pt>
                <c:pt idx="18">
                  <c:v>0</c:v>
                </c:pt>
              </c:numCache>
            </c:numRef>
          </c:val>
        </c:ser>
        <c:dLbls>
          <c:showLegendKey val="0"/>
          <c:showVal val="0"/>
          <c:showCatName val="0"/>
          <c:showSerName val="0"/>
          <c:showPercent val="0"/>
          <c:showBubbleSize val="0"/>
        </c:dLbls>
        <c:gapWidth val="0"/>
        <c:axId val="61326848"/>
        <c:axId val="59023936"/>
      </c:barChart>
      <c:catAx>
        <c:axId val="6132684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59023936"/>
        <c:crosses val="autoZero"/>
        <c:auto val="1"/>
        <c:lblAlgn val="ctr"/>
        <c:lblOffset val="100"/>
        <c:noMultiLvlLbl val="0"/>
      </c:catAx>
      <c:valAx>
        <c:axId val="59023936"/>
        <c:scaling>
          <c:orientation val="minMax"/>
          <c:min val="0"/>
        </c:scaling>
        <c:delete val="0"/>
        <c:axPos val="l"/>
        <c:majorGridlines/>
        <c:numFmt formatCode="General" sourceLinked="1"/>
        <c:majorTickMark val="out"/>
        <c:minorTickMark val="none"/>
        <c:tickLblPos val="nextTo"/>
        <c:crossAx val="61326848"/>
        <c:crosses val="autoZero"/>
        <c:crossBetween val="between"/>
      </c:valAx>
    </c:plotArea>
    <c:plotVisOnly val="1"/>
    <c:dispBlanksAs val="gap"/>
    <c:showDLblsOverMax val="0"/>
  </c:chart>
  <c:spPr>
    <a:solidFill>
      <a:schemeClr val="bg1">
        <a:lumMod val="85000"/>
      </a:schemeClr>
    </a:solidFill>
    <a:ln w="31750" cmpd="dbl">
      <a:solidFill>
        <a:sysClr val="windowText" lastClr="000000">
          <a:tint val="75000"/>
          <a:shade val="95000"/>
          <a:satMod val="105000"/>
        </a:sysClr>
      </a:solid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100853</xdr:colOff>
      <xdr:row>1</xdr:row>
      <xdr:rowOff>89645</xdr:rowOff>
    </xdr:from>
    <xdr:to>
      <xdr:col>4</xdr:col>
      <xdr:colOff>1284593</xdr:colOff>
      <xdr:row>1</xdr:row>
      <xdr:rowOff>1456764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382" y="291351"/>
          <a:ext cx="5318711" cy="1367119"/>
        </a:xfrm>
        <a:prstGeom prst="rect">
          <a:avLst/>
        </a:prstGeom>
        <a:ln w="7620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36</xdr:row>
      <xdr:rowOff>0</xdr:rowOff>
    </xdr:from>
    <xdr:to>
      <xdr:col>5</xdr:col>
      <xdr:colOff>0</xdr:colOff>
      <xdr:row>37</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145685</xdr:colOff>
      <xdr:row>1</xdr:row>
      <xdr:rowOff>67236</xdr:rowOff>
    </xdr:from>
    <xdr:to>
      <xdr:col>12</xdr:col>
      <xdr:colOff>717184</xdr:colOff>
      <xdr:row>6</xdr:row>
      <xdr:rowOff>343004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8773" y="268942"/>
          <a:ext cx="4829735" cy="1239474"/>
        </a:xfrm>
        <a:prstGeom prst="rect">
          <a:avLst/>
        </a:prstGeom>
        <a:ln w="76200">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9"/>
  <sheetViews>
    <sheetView tabSelected="1" zoomScaleNormal="100" workbookViewId="0">
      <selection activeCell="D16" sqref="D16:E16"/>
    </sheetView>
  </sheetViews>
  <sheetFormatPr defaultColWidth="0" defaultRowHeight="15" zeroHeight="1" x14ac:dyDescent="0.25"/>
  <cols>
    <col min="1" max="1" width="3.7109375" style="2" customWidth="1"/>
    <col min="2" max="5" width="20.7109375" style="2" customWidth="1"/>
    <col min="6" max="6" width="3.7109375" style="2" customWidth="1"/>
    <col min="7" max="7" width="11" style="2" hidden="1" customWidth="1"/>
    <col min="8" max="8" width="9.140625" style="2" hidden="1" customWidth="1"/>
    <col min="9" max="9" width="12" style="2" hidden="1" customWidth="1"/>
    <col min="10" max="10" width="11" style="2" hidden="1" customWidth="1"/>
    <col min="11" max="16384" width="9.140625" style="2" hidden="1"/>
  </cols>
  <sheetData>
    <row r="1" spans="1:11" ht="15.75" thickBot="1" x14ac:dyDescent="0.3">
      <c r="A1" s="4"/>
      <c r="B1" s="24"/>
      <c r="C1" s="24"/>
      <c r="D1" s="24"/>
      <c r="E1" s="24"/>
      <c r="F1" s="4"/>
      <c r="G1" s="1"/>
      <c r="H1" s="1"/>
      <c r="I1" s="1"/>
      <c r="J1" s="1"/>
      <c r="K1" s="1"/>
    </row>
    <row r="2" spans="1:11" ht="120" customHeight="1" thickTop="1" thickBot="1" x14ac:dyDescent="0.3">
      <c r="A2" s="23"/>
      <c r="B2" s="178"/>
      <c r="C2" s="179"/>
      <c r="D2" s="179"/>
      <c r="E2" s="180"/>
      <c r="F2" s="4"/>
      <c r="G2" s="1"/>
      <c r="H2" s="1"/>
      <c r="I2" s="1"/>
      <c r="J2" s="1"/>
      <c r="K2" s="1"/>
    </row>
    <row r="3" spans="1:11" ht="50.1" customHeight="1" thickTop="1" thickBot="1" x14ac:dyDescent="0.3">
      <c r="A3" s="23"/>
      <c r="B3" s="186" t="s">
        <v>156</v>
      </c>
      <c r="C3" s="187"/>
      <c r="D3" s="187"/>
      <c r="E3" s="188"/>
      <c r="F3" s="6"/>
      <c r="G3" s="3"/>
      <c r="H3" s="3"/>
      <c r="I3" s="3"/>
      <c r="J3" s="3"/>
      <c r="K3" s="1"/>
    </row>
    <row r="4" spans="1:11" ht="15.95" customHeight="1" thickTop="1" thickBot="1" x14ac:dyDescent="0.3">
      <c r="A4" s="5"/>
      <c r="B4" s="5"/>
      <c r="C4" s="5"/>
      <c r="D4" s="5"/>
      <c r="E4" s="5"/>
      <c r="F4" s="5"/>
    </row>
    <row r="5" spans="1:11" ht="15.95" customHeight="1" thickTop="1" thickBot="1" x14ac:dyDescent="0.3">
      <c r="A5" s="5"/>
      <c r="B5" s="166" t="s">
        <v>63</v>
      </c>
      <c r="C5" s="167"/>
      <c r="D5" s="168"/>
      <c r="E5" s="169"/>
      <c r="F5" s="5"/>
    </row>
    <row r="6" spans="1:11" ht="15.95" customHeight="1" thickTop="1" x14ac:dyDescent="0.25">
      <c r="A6" s="5"/>
      <c r="B6" s="184" t="s">
        <v>41</v>
      </c>
      <c r="C6" s="185"/>
      <c r="D6" s="41">
        <v>10</v>
      </c>
      <c r="E6" s="38" t="s">
        <v>21</v>
      </c>
      <c r="F6" s="5"/>
    </row>
    <row r="7" spans="1:11" ht="15.95" customHeight="1" x14ac:dyDescent="0.25">
      <c r="A7" s="5"/>
      <c r="B7" s="181" t="s">
        <v>48</v>
      </c>
      <c r="C7" s="182"/>
      <c r="D7" s="43">
        <v>25</v>
      </c>
      <c r="E7" s="39" t="s">
        <v>31</v>
      </c>
      <c r="F7" s="5"/>
    </row>
    <row r="8" spans="1:11" ht="15.95" customHeight="1" x14ac:dyDescent="0.25">
      <c r="A8" s="5"/>
      <c r="B8" s="183" t="s">
        <v>61</v>
      </c>
      <c r="C8" s="182"/>
      <c r="D8" s="42">
        <v>0</v>
      </c>
      <c r="E8" s="38" t="s">
        <v>2</v>
      </c>
      <c r="F8" s="5"/>
    </row>
    <row r="9" spans="1:11" ht="15.95" customHeight="1" x14ac:dyDescent="0.25">
      <c r="A9" s="5"/>
      <c r="B9" s="183" t="s">
        <v>50</v>
      </c>
      <c r="C9" s="182"/>
      <c r="D9" s="43">
        <v>40</v>
      </c>
      <c r="E9" s="38" t="str">
        <f>IF(D9*1000&lt;Configuration!D15,"km, INSIDE BR!","km")</f>
        <v>km</v>
      </c>
      <c r="F9" s="5"/>
    </row>
    <row r="10" spans="1:11" ht="15.95" customHeight="1" thickBot="1" x14ac:dyDescent="0.3">
      <c r="A10" s="5"/>
      <c r="B10" s="181" t="s">
        <v>49</v>
      </c>
      <c r="C10" s="182"/>
      <c r="D10" s="73">
        <v>0</v>
      </c>
      <c r="E10" s="44" t="s">
        <v>5</v>
      </c>
      <c r="F10" s="5"/>
    </row>
    <row r="11" spans="1:11" ht="15.95" customHeight="1" thickTop="1" thickBot="1" x14ac:dyDescent="0.3">
      <c r="A11" s="5"/>
      <c r="B11" s="166" t="s">
        <v>115</v>
      </c>
      <c r="C11" s="167"/>
      <c r="D11" s="168"/>
      <c r="E11" s="169"/>
      <c r="F11" s="5"/>
    </row>
    <row r="12" spans="1:11" ht="15.95" customHeight="1" thickTop="1" thickBot="1" x14ac:dyDescent="0.3">
      <c r="A12" s="5"/>
      <c r="B12" s="160" t="s">
        <v>122</v>
      </c>
      <c r="C12" s="161"/>
      <c r="D12" s="16">
        <f>10*LOG10(((180^2*1024*LN(2))/(3*10^-18*PI()^5))*((10^((Configuration!D23+Hardware!D10+D10-30)/10)*Hardware!D8^2*10^((Hardware!D9+Configuration!D9+Configuration!D10)/10))/(Hardware!D6*(10^(Hardware!D23/10))^2*(Configuration!D6)*Hardware!D24*Hardware!D25*Particle!D13)))</f>
        <v>9.7915853569797271</v>
      </c>
      <c r="E12" s="21" t="s">
        <v>116</v>
      </c>
      <c r="F12" s="5"/>
    </row>
    <row r="13" spans="1:11" ht="15.95" customHeight="1" thickTop="1" thickBot="1" x14ac:dyDescent="0.3">
      <c r="A13" s="5"/>
      <c r="B13" s="166" t="s">
        <v>117</v>
      </c>
      <c r="C13" s="167"/>
      <c r="D13" s="168"/>
      <c r="E13" s="169"/>
      <c r="F13" s="5"/>
    </row>
    <row r="14" spans="1:11" ht="15.95" customHeight="1" thickTop="1" x14ac:dyDescent="0.25">
      <c r="A14" s="5"/>
      <c r="B14" s="164" t="s">
        <v>118</v>
      </c>
      <c r="C14" s="165"/>
      <c r="D14" s="82">
        <f>Particle!D39</f>
        <v>-21.328339859828034</v>
      </c>
      <c r="E14" s="76" t="s">
        <v>8</v>
      </c>
      <c r="F14" s="5"/>
    </row>
    <row r="15" spans="1:11" ht="15.95" customHeight="1" x14ac:dyDescent="0.25">
      <c r="A15" s="5"/>
      <c r="B15" s="162" t="s">
        <v>119</v>
      </c>
      <c r="C15" s="163"/>
      <c r="D15" s="122">
        <v>70</v>
      </c>
      <c r="E15" s="100" t="s">
        <v>8</v>
      </c>
      <c r="F15" s="5"/>
    </row>
    <row r="16" spans="1:11" ht="15.95" customHeight="1" x14ac:dyDescent="0.25">
      <c r="A16" s="5"/>
      <c r="B16" s="162" t="s">
        <v>120</v>
      </c>
      <c r="C16" s="163"/>
      <c r="D16" s="176" t="s">
        <v>121</v>
      </c>
      <c r="E16" s="177"/>
      <c r="F16" s="5"/>
    </row>
    <row r="17" spans="1:6" ht="15.95" customHeight="1" thickBot="1" x14ac:dyDescent="0.3">
      <c r="A17" s="5"/>
      <c r="B17" s="174" t="s">
        <v>123</v>
      </c>
      <c r="C17" s="175"/>
      <c r="D17" s="16">
        <f>IF(D16="From PSD",10*LOG10(10^(D14/10)*(Hardware!D6*(10^(Hardware!D23/10))^2*(Configuration!D6)*Hardware!D24*Hardware!D25*Particle!D13)/(((180^2*1024*LN(2))/(3*10^-18*PI()^5))*Hardware!D8^2*10^(Hardware!D9/10)))+30,IF(D16="Custom",10*LOG10(10^(D15/10)*(Hardware!D6*(10^(Hardware!D23/10))^2*(Configuration!D6)*Hardware!D24^2*Particle!D13)/(((180^2*1024*LN(2))/(3*10^-18*PI()^5))*Hardware!D8^2*10^(Hardware!D9/10)))+30,"INVALID"))</f>
        <v>-47.291585356979752</v>
      </c>
      <c r="E17" s="46" t="s">
        <v>6</v>
      </c>
      <c r="F17" s="5"/>
    </row>
    <row r="18" spans="1:6" ht="15.95" customHeight="1" thickTop="1" thickBot="1" x14ac:dyDescent="0.3">
      <c r="A18" s="5"/>
      <c r="B18" s="4"/>
      <c r="C18" s="4"/>
      <c r="D18" s="7"/>
      <c r="E18" s="4"/>
      <c r="F18" s="5"/>
    </row>
    <row r="19" spans="1:6" ht="15.95" customHeight="1" thickTop="1" thickBot="1" x14ac:dyDescent="0.3">
      <c r="A19" s="23"/>
      <c r="B19" s="170" t="s">
        <v>65</v>
      </c>
      <c r="C19" s="171"/>
      <c r="D19" s="74" t="s">
        <v>68</v>
      </c>
      <c r="E19" s="79" t="s">
        <v>64</v>
      </c>
      <c r="F19" s="5"/>
    </row>
    <row r="20" spans="1:6" ht="15.95" customHeight="1" thickTop="1" thickBot="1" x14ac:dyDescent="0.3">
      <c r="A20" s="23"/>
      <c r="B20" s="172"/>
      <c r="C20" s="173"/>
      <c r="D20" s="77" t="s">
        <v>69</v>
      </c>
      <c r="E20" s="78" t="s">
        <v>69</v>
      </c>
      <c r="F20" s="72"/>
    </row>
    <row r="21" spans="1:6" ht="15.95" customHeight="1" thickTop="1" x14ac:dyDescent="0.25">
      <c r="A21" s="5"/>
      <c r="B21" s="164" t="str">
        <f>CONCATENATE("Total Attenuation @ ",TEXT(D9,"#.0"),"km, α")</f>
        <v>Total Attenuation @ 40.0km, α</v>
      </c>
      <c r="C21" s="165"/>
      <c r="D21" s="75">
        <f>IF(E20="ENABLED",Attenuation!C7,IF(E20="DISABLED",0,"INVALID"))</f>
        <v>0</v>
      </c>
      <c r="E21" s="76" t="s">
        <v>51</v>
      </c>
      <c r="F21" s="5"/>
    </row>
    <row r="22" spans="1:6" ht="15.95" customHeight="1" thickBot="1" x14ac:dyDescent="0.3">
      <c r="A22" s="5"/>
      <c r="B22" s="160" t="s">
        <v>66</v>
      </c>
      <c r="C22" s="161"/>
      <c r="D22" s="16">
        <f>IF(D20="ENABLED",10*LOG10(10^((D12+D21)/10)*D9^2)-Configuration!D32,IF(D20="DISABLED",10*LOG10(10^((D12+D21)/10)*D9^2),"INVALID"))</f>
        <v>41.832785183538974</v>
      </c>
      <c r="E22" s="21" t="str">
        <f>CONCATENATE("dBz @ ",TEXT(D9,"#.0"),"km")</f>
        <v>dBz @ 40.0km</v>
      </c>
      <c r="F22" s="5"/>
    </row>
    <row r="23" spans="1:6" ht="15.95" customHeight="1" thickTop="1" x14ac:dyDescent="0.25">
      <c r="A23" s="5"/>
      <c r="B23" s="162" t="str">
        <f>CONCATENATE("Receive Power @ ",TEXT(D9,"#.0"),"km")</f>
        <v>Receive Power @ 40.0km</v>
      </c>
      <c r="C23" s="163"/>
      <c r="D23" s="11">
        <f>10*LOG10(10^((D17-D21)/10)/D9^2)</f>
        <v>-79.332785183539002</v>
      </c>
      <c r="E23" s="20" t="s">
        <v>6</v>
      </c>
      <c r="F23" s="5"/>
    </row>
    <row r="24" spans="1:6" ht="15.95" customHeight="1" thickBot="1" x14ac:dyDescent="0.3">
      <c r="A24" s="5"/>
      <c r="B24" s="160" t="s">
        <v>67</v>
      </c>
      <c r="C24" s="161"/>
      <c r="D24" s="16">
        <f>IF(D20="ENABLED",D23-(Configuration!D23+Hardware!D10)+Configuration!D32,IF(D20="DISABLED",D23-(Configuration!D23+Hardware!D10),"INVALID"))</f>
        <v>28.167214816460998</v>
      </c>
      <c r="E24" s="21" t="str">
        <f>IF(D24&gt;=D10,"dB","dB, NOT DETECTED")</f>
        <v>dB</v>
      </c>
      <c r="F24" s="5"/>
    </row>
    <row r="25" spans="1:6" ht="15.95" customHeight="1" thickTop="1" x14ac:dyDescent="0.25">
      <c r="A25" s="4"/>
      <c r="B25" s="8"/>
      <c r="C25" s="8"/>
      <c r="D25" s="9"/>
      <c r="E25" s="8"/>
      <c r="F25" s="4"/>
    </row>
    <row r="26" spans="1:6" hidden="1" x14ac:dyDescent="0.25"/>
    <row r="27" spans="1:6" hidden="1" x14ac:dyDescent="0.25"/>
    <row r="28" spans="1:6" hidden="1" x14ac:dyDescent="0.25"/>
    <row r="29" spans="1:6" hidden="1" x14ac:dyDescent="0.25"/>
    <row r="30" spans="1:6" hidden="1" x14ac:dyDescent="0.25"/>
    <row r="31" spans="1:6" hidden="1" x14ac:dyDescent="0.25"/>
    <row r="32" spans="1:6"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sheetData>
  <sheetProtection password="E706" sheet="1" objects="1" scenarios="1" selectLockedCells="1"/>
  <mergeCells count="21">
    <mergeCell ref="B2:E2"/>
    <mergeCell ref="B7:C7"/>
    <mergeCell ref="B8:C8"/>
    <mergeCell ref="B9:C9"/>
    <mergeCell ref="B10:C10"/>
    <mergeCell ref="B6:C6"/>
    <mergeCell ref="B3:E3"/>
    <mergeCell ref="B24:C24"/>
    <mergeCell ref="B12:C12"/>
    <mergeCell ref="B23:C23"/>
    <mergeCell ref="B21:C21"/>
    <mergeCell ref="B5:E5"/>
    <mergeCell ref="B11:E11"/>
    <mergeCell ref="B19:C20"/>
    <mergeCell ref="B22:C22"/>
    <mergeCell ref="B17:C17"/>
    <mergeCell ref="B13:E13"/>
    <mergeCell ref="D16:E16"/>
    <mergeCell ref="B16:C16"/>
    <mergeCell ref="B15:C15"/>
    <mergeCell ref="B14:C14"/>
  </mergeCells>
  <dataValidations count="2">
    <dataValidation type="list" allowBlank="1" showInputMessage="1" showErrorMessage="1" sqref="D20:E20">
      <formula1>"ENABLED,DISABLED"</formula1>
    </dataValidation>
    <dataValidation type="list" allowBlank="1" showInputMessage="1" showErrorMessage="1" sqref="D16:E16">
      <formula1>"From PSD,Custom"</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D20" sqref="D20"/>
    </sheetView>
  </sheetViews>
  <sheetFormatPr defaultColWidth="0" defaultRowHeight="15" zeroHeight="1" x14ac:dyDescent="0.25"/>
  <cols>
    <col min="1" max="1" width="3.7109375" style="2" customWidth="1"/>
    <col min="2" max="5" width="20.7109375" style="2" customWidth="1"/>
    <col min="6" max="6" width="3.7109375" style="2" customWidth="1"/>
    <col min="7" max="16384" width="9.140625" style="2" hidden="1"/>
  </cols>
  <sheetData>
    <row r="1" spans="1:6" ht="15.75" thickBot="1" x14ac:dyDescent="0.3">
      <c r="A1" s="5"/>
      <c r="B1" s="5"/>
      <c r="C1" s="5"/>
      <c r="D1" s="5"/>
      <c r="E1" s="5"/>
      <c r="F1" s="5"/>
    </row>
    <row r="2" spans="1:6" ht="33" thickTop="1" thickBot="1" x14ac:dyDescent="0.3">
      <c r="A2" s="23"/>
      <c r="B2" s="198" t="s">
        <v>15</v>
      </c>
      <c r="C2" s="199"/>
      <c r="D2" s="199"/>
      <c r="E2" s="200"/>
      <c r="F2" s="6"/>
    </row>
    <row r="3" spans="1:6" ht="16.5" thickTop="1" thickBot="1" x14ac:dyDescent="0.3">
      <c r="A3" s="5"/>
      <c r="B3" s="5"/>
      <c r="C3" s="5"/>
      <c r="D3" s="5"/>
      <c r="E3" s="5"/>
      <c r="F3" s="5"/>
    </row>
    <row r="4" spans="1:6" ht="16.5" thickTop="1" thickBot="1" x14ac:dyDescent="0.3">
      <c r="A4" s="23"/>
      <c r="B4" s="167" t="s">
        <v>78</v>
      </c>
      <c r="C4" s="167"/>
      <c r="D4" s="168"/>
      <c r="E4" s="169"/>
      <c r="F4" s="5"/>
    </row>
    <row r="5" spans="1:6" ht="15.75" thickTop="1" x14ac:dyDescent="0.25">
      <c r="A5" s="4"/>
      <c r="B5" s="193" t="s">
        <v>73</v>
      </c>
      <c r="C5" s="194"/>
      <c r="D5" s="159">
        <v>3.5</v>
      </c>
      <c r="E5" s="92" t="s">
        <v>155</v>
      </c>
      <c r="F5" s="5"/>
    </row>
    <row r="6" spans="1:6" ht="15.75" thickBot="1" x14ac:dyDescent="0.3">
      <c r="A6" s="4"/>
      <c r="B6" s="183" t="s">
        <v>9</v>
      </c>
      <c r="C6" s="197"/>
      <c r="D6" s="10">
        <f>IF(E5="dBm",10^((D5-30)/10),IF(E5="kW",D5*10^3,IF(E5="W",D5,IF(E5="mW",D5*10^-3,"INVALID"))))</f>
        <v>3500</v>
      </c>
      <c r="E6" s="22" t="s">
        <v>4</v>
      </c>
      <c r="F6" s="5"/>
    </row>
    <row r="7" spans="1:6" ht="15.75" thickTop="1" x14ac:dyDescent="0.25">
      <c r="A7" s="4"/>
      <c r="B7" s="193" t="s">
        <v>10</v>
      </c>
      <c r="C7" s="201"/>
      <c r="D7" s="95">
        <v>9.5500000000000007</v>
      </c>
      <c r="E7" s="36" t="s">
        <v>0</v>
      </c>
      <c r="F7" s="5"/>
    </row>
    <row r="8" spans="1:6" ht="15.75" thickBot="1" x14ac:dyDescent="0.3">
      <c r="A8" s="4"/>
      <c r="B8" s="160" t="s">
        <v>11</v>
      </c>
      <c r="C8" s="161"/>
      <c r="D8" s="25">
        <f>300000000/(D7*1000000000)*100</f>
        <v>3.1413612565445024</v>
      </c>
      <c r="E8" s="46" t="s">
        <v>7</v>
      </c>
      <c r="F8" s="5"/>
    </row>
    <row r="9" spans="1:6" ht="15.75" thickTop="1" x14ac:dyDescent="0.25">
      <c r="A9" s="4"/>
      <c r="B9" s="162" t="s">
        <v>79</v>
      </c>
      <c r="C9" s="163"/>
      <c r="D9" s="93">
        <v>2</v>
      </c>
      <c r="E9" s="20" t="s">
        <v>5</v>
      </c>
      <c r="F9" s="5"/>
    </row>
    <row r="10" spans="1:6" ht="15.75" thickBot="1" x14ac:dyDescent="0.3">
      <c r="A10" s="4"/>
      <c r="B10" s="160" t="s">
        <v>13</v>
      </c>
      <c r="C10" s="161"/>
      <c r="D10" s="97">
        <v>2.5</v>
      </c>
      <c r="E10" s="19" t="s">
        <v>5</v>
      </c>
      <c r="F10" s="5"/>
    </row>
    <row r="11" spans="1:6" ht="16.5" thickTop="1" thickBot="1" x14ac:dyDescent="0.3">
      <c r="A11" s="4"/>
      <c r="B11" s="94"/>
      <c r="C11" s="83"/>
      <c r="D11" s="84"/>
      <c r="E11" s="4"/>
      <c r="F11" s="4"/>
    </row>
    <row r="12" spans="1:6" ht="16.5" thickTop="1" thickBot="1" x14ac:dyDescent="0.3">
      <c r="A12" s="23"/>
      <c r="B12" s="167" t="s">
        <v>70</v>
      </c>
      <c r="C12" s="167"/>
      <c r="D12" s="168"/>
      <c r="E12" s="169"/>
      <c r="F12" s="5"/>
    </row>
    <row r="13" spans="1:6" ht="15.75" thickTop="1" x14ac:dyDescent="0.25">
      <c r="A13" s="23"/>
      <c r="B13" s="163" t="s">
        <v>72</v>
      </c>
      <c r="C13" s="192"/>
      <c r="D13" s="13">
        <v>4.75</v>
      </c>
      <c r="E13" s="121" t="s">
        <v>132</v>
      </c>
      <c r="F13" s="5"/>
    </row>
    <row r="14" spans="1:6" s="120" customFormat="1" ht="15" customHeight="1" x14ac:dyDescent="0.25">
      <c r="A14" s="87"/>
      <c r="B14" s="191" t="s">
        <v>77</v>
      </c>
      <c r="C14" s="192"/>
      <c r="D14" s="90">
        <v>70</v>
      </c>
      <c r="E14" s="89"/>
      <c r="F14" s="88"/>
    </row>
    <row r="15" spans="1:6" x14ac:dyDescent="0.25">
      <c r="A15" s="23"/>
      <c r="B15" s="163" t="s">
        <v>71</v>
      </c>
      <c r="C15" s="192"/>
      <c r="D15" s="14">
        <v>3</v>
      </c>
      <c r="E15" s="17" t="s">
        <v>5</v>
      </c>
      <c r="F15" s="5"/>
    </row>
    <row r="16" spans="1:6" x14ac:dyDescent="0.25">
      <c r="A16" s="23"/>
      <c r="B16" s="162" t="s">
        <v>75</v>
      </c>
      <c r="C16" s="163"/>
      <c r="D16" s="11">
        <f>IF(E13="ft",10*LOG10((PI()*(D13*0.3048)/(D8/100))^2)-D15,IF(E13="m",10*LOG10((PI()*(D13)/(D8/100))^2)-D15,0))</f>
        <v>40.214811237012952</v>
      </c>
      <c r="E16" s="17" t="s">
        <v>3</v>
      </c>
      <c r="F16" s="5"/>
    </row>
    <row r="17" spans="1:6" x14ac:dyDescent="0.25">
      <c r="A17" s="23"/>
      <c r="B17" s="162" t="s">
        <v>124</v>
      </c>
      <c r="C17" s="163"/>
      <c r="D17" s="147">
        <f>IF(E13="ft",D14*(D8/100)/(D13*0.3048),IF(E13="m",D14*(D8/100)/(D13),"INVALID"))</f>
        <v>1.5188236493860696</v>
      </c>
      <c r="E17" s="17" t="s">
        <v>2</v>
      </c>
      <c r="F17" s="5"/>
    </row>
    <row r="18" spans="1:6" ht="15.75" thickBot="1" x14ac:dyDescent="0.3">
      <c r="A18" s="23"/>
      <c r="B18" s="160" t="s">
        <v>125</v>
      </c>
      <c r="C18" s="161"/>
      <c r="D18" s="147">
        <f>IF(E13="ft",D14*(D8/100)/(D13*0.3048),IF(E13="m",D14*(D8/100)/(D13),"INVALID"))</f>
        <v>1.5188236493860696</v>
      </c>
      <c r="E18" s="46" t="s">
        <v>2</v>
      </c>
      <c r="F18" s="5"/>
    </row>
    <row r="19" spans="1:6" ht="15.75" thickTop="1" x14ac:dyDescent="0.25">
      <c r="A19" s="23"/>
      <c r="B19" s="164" t="s">
        <v>74</v>
      </c>
      <c r="C19" s="195"/>
      <c r="D19" s="86">
        <v>25</v>
      </c>
      <c r="E19" s="17" t="s">
        <v>3</v>
      </c>
      <c r="F19" s="5"/>
    </row>
    <row r="20" spans="1:6" x14ac:dyDescent="0.25">
      <c r="A20" s="23"/>
      <c r="B20" s="162" t="s">
        <v>126</v>
      </c>
      <c r="C20" s="192"/>
      <c r="D20" s="148">
        <v>1.5</v>
      </c>
      <c r="E20" s="136" t="s">
        <v>2</v>
      </c>
      <c r="F20" s="5"/>
    </row>
    <row r="21" spans="1:6" ht="15.75" thickBot="1" x14ac:dyDescent="0.3">
      <c r="A21" s="23"/>
      <c r="B21" s="160" t="s">
        <v>127</v>
      </c>
      <c r="C21" s="196"/>
      <c r="D21" s="149">
        <v>1.5</v>
      </c>
      <c r="E21" s="37" t="s">
        <v>2</v>
      </c>
      <c r="F21" s="5"/>
    </row>
    <row r="22" spans="1:6" ht="15.75" thickTop="1" x14ac:dyDescent="0.25">
      <c r="A22" s="23"/>
      <c r="B22" s="164" t="s">
        <v>81</v>
      </c>
      <c r="C22" s="195"/>
      <c r="D22" s="189" t="s">
        <v>76</v>
      </c>
      <c r="E22" s="190"/>
      <c r="F22" s="5"/>
    </row>
    <row r="23" spans="1:6" x14ac:dyDescent="0.25">
      <c r="A23" s="23"/>
      <c r="B23" s="197" t="s">
        <v>12</v>
      </c>
      <c r="C23" s="197"/>
      <c r="D23" s="12">
        <f>IF(D22="Calculated",D16,IF(D22="Manual Entry",D19,"INVALID"))</f>
        <v>25</v>
      </c>
      <c r="E23" s="17" t="s">
        <v>3</v>
      </c>
      <c r="F23" s="5"/>
    </row>
    <row r="24" spans="1:6" x14ac:dyDescent="0.25">
      <c r="A24" s="23"/>
      <c r="B24" s="162" t="s">
        <v>128</v>
      </c>
      <c r="C24" s="163"/>
      <c r="D24" s="147">
        <f>IF(D22="Calculated",D17,IF(D22="Manual Entry",D20,"INVALID"))</f>
        <v>1.5</v>
      </c>
      <c r="E24" s="20" t="s">
        <v>2</v>
      </c>
      <c r="F24" s="5"/>
    </row>
    <row r="25" spans="1:6" ht="15.75" thickBot="1" x14ac:dyDescent="0.3">
      <c r="A25" s="4"/>
      <c r="B25" s="160" t="s">
        <v>129</v>
      </c>
      <c r="C25" s="161"/>
      <c r="D25" s="25">
        <f>IF(D22="Calculated",D18,IF(D22="Manual Entry",D21,"INVALID"))</f>
        <v>1.5</v>
      </c>
      <c r="E25" s="137" t="s">
        <v>2</v>
      </c>
      <c r="F25" s="72"/>
    </row>
    <row r="26" spans="1:6" ht="15.75" thickTop="1" x14ac:dyDescent="0.25">
      <c r="A26" s="4"/>
      <c r="B26" s="83"/>
      <c r="C26" s="83"/>
      <c r="D26" s="84"/>
      <c r="E26" s="8"/>
      <c r="F26" s="5"/>
    </row>
  </sheetData>
  <sheetProtection password="E706" sheet="1" objects="1" scenarios="1" selectLockedCells="1"/>
  <mergeCells count="23">
    <mergeCell ref="B2:E2"/>
    <mergeCell ref="B4:E4"/>
    <mergeCell ref="B9:C9"/>
    <mergeCell ref="B10:C10"/>
    <mergeCell ref="B15:C15"/>
    <mergeCell ref="B6:C6"/>
    <mergeCell ref="B7:C7"/>
    <mergeCell ref="B8:C8"/>
    <mergeCell ref="B13:C13"/>
    <mergeCell ref="B25:C25"/>
    <mergeCell ref="D22:E22"/>
    <mergeCell ref="B14:C14"/>
    <mergeCell ref="B5:C5"/>
    <mergeCell ref="B12:E12"/>
    <mergeCell ref="B16:C16"/>
    <mergeCell ref="B17:C17"/>
    <mergeCell ref="B22:C22"/>
    <mergeCell ref="B20:C20"/>
    <mergeCell ref="B19:C19"/>
    <mergeCell ref="B18:C18"/>
    <mergeCell ref="B21:C21"/>
    <mergeCell ref="B23:C23"/>
    <mergeCell ref="B24:C24"/>
  </mergeCells>
  <dataValidations count="3">
    <dataValidation type="list" allowBlank="1" showInputMessage="1" showErrorMessage="1" sqref="E13">
      <formula1>"ft,m"</formula1>
    </dataValidation>
    <dataValidation type="list" allowBlank="1" showInputMessage="1" showErrorMessage="1" sqref="D22:E22">
      <formula1>"Calculated,Manual Entry"</formula1>
    </dataValidation>
    <dataValidation type="list" allowBlank="1" showInputMessage="1" showErrorMessage="1" sqref="E5">
      <formula1>"dBm,kW,W,mW"</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election activeCell="D8" sqref="D8"/>
    </sheetView>
  </sheetViews>
  <sheetFormatPr defaultColWidth="0" defaultRowHeight="15" zeroHeight="1" x14ac:dyDescent="0.25"/>
  <cols>
    <col min="1" max="1" width="3.7109375" style="2" customWidth="1"/>
    <col min="2" max="5" width="20.7109375" style="2" customWidth="1"/>
    <col min="6" max="6" width="3.7109375" style="2" customWidth="1"/>
    <col min="7" max="16384" width="9.140625" style="2" hidden="1"/>
  </cols>
  <sheetData>
    <row r="1" spans="1:6" ht="15.75" thickBot="1" x14ac:dyDescent="0.3">
      <c r="A1" s="5"/>
      <c r="B1" s="5"/>
      <c r="C1" s="5"/>
      <c r="D1" s="5"/>
      <c r="E1" s="5"/>
      <c r="F1" s="5"/>
    </row>
    <row r="2" spans="1:6" ht="33" thickTop="1" thickBot="1" x14ac:dyDescent="0.3">
      <c r="A2" s="23"/>
      <c r="B2" s="198" t="s">
        <v>56</v>
      </c>
      <c r="C2" s="199"/>
      <c r="D2" s="199"/>
      <c r="E2" s="200"/>
      <c r="F2" s="6"/>
    </row>
    <row r="3" spans="1:6" ht="16.5" thickTop="1" thickBot="1" x14ac:dyDescent="0.3">
      <c r="A3" s="5"/>
      <c r="B3" s="5"/>
      <c r="C3" s="5"/>
      <c r="D3" s="5"/>
      <c r="E3" s="5"/>
      <c r="F3" s="5"/>
    </row>
    <row r="4" spans="1:6" ht="16.5" thickTop="1" thickBot="1" x14ac:dyDescent="0.3">
      <c r="A4" s="23"/>
      <c r="B4" s="202" t="s">
        <v>82</v>
      </c>
      <c r="C4" s="202"/>
      <c r="D4" s="203"/>
      <c r="E4" s="204"/>
      <c r="F4" s="5"/>
    </row>
    <row r="5" spans="1:6" ht="15.75" thickTop="1" x14ac:dyDescent="0.25">
      <c r="A5" s="4"/>
      <c r="B5" s="193" t="s">
        <v>55</v>
      </c>
      <c r="C5" s="194"/>
      <c r="D5" s="210" t="s">
        <v>145</v>
      </c>
      <c r="E5" s="211"/>
      <c r="F5" s="5"/>
    </row>
    <row r="6" spans="1:6" x14ac:dyDescent="0.25">
      <c r="A6" s="4"/>
      <c r="B6" s="162" t="s">
        <v>85</v>
      </c>
      <c r="C6" s="163"/>
      <c r="D6" s="14">
        <v>1</v>
      </c>
      <c r="E6" s="18" t="s">
        <v>26</v>
      </c>
      <c r="F6" s="5"/>
    </row>
    <row r="7" spans="1:6" x14ac:dyDescent="0.25">
      <c r="A7" s="4"/>
      <c r="B7" s="162" t="s">
        <v>84</v>
      </c>
      <c r="C7" s="163"/>
      <c r="D7" s="98">
        <v>1000</v>
      </c>
      <c r="E7" s="18" t="s">
        <v>83</v>
      </c>
      <c r="F7" s="5"/>
    </row>
    <row r="8" spans="1:6" x14ac:dyDescent="0.25">
      <c r="A8" s="4"/>
      <c r="B8" s="162" t="s">
        <v>29</v>
      </c>
      <c r="C8" s="163"/>
      <c r="D8" s="99">
        <v>5</v>
      </c>
      <c r="E8" s="18" t="s">
        <v>23</v>
      </c>
      <c r="F8" s="5"/>
    </row>
    <row r="9" spans="1:6" x14ac:dyDescent="0.25">
      <c r="A9" s="4"/>
      <c r="B9" s="162" t="s">
        <v>148</v>
      </c>
      <c r="C9" s="163"/>
      <c r="D9" s="153">
        <v>0</v>
      </c>
      <c r="E9" s="18" t="s">
        <v>5</v>
      </c>
      <c r="F9" s="5"/>
    </row>
    <row r="10" spans="1:6" x14ac:dyDescent="0.25">
      <c r="A10" s="4"/>
      <c r="B10" s="162" t="s">
        <v>149</v>
      </c>
      <c r="C10" s="163"/>
      <c r="D10" s="13">
        <v>0</v>
      </c>
      <c r="E10" s="18" t="s">
        <v>5</v>
      </c>
      <c r="F10" s="5"/>
    </row>
    <row r="11" spans="1:6" x14ac:dyDescent="0.25">
      <c r="A11" s="4"/>
      <c r="B11" s="162" t="s">
        <v>28</v>
      </c>
      <c r="C11" s="163"/>
      <c r="D11" s="10">
        <f>(1/D7)*10^6</f>
        <v>1000</v>
      </c>
      <c r="E11" s="20" t="s">
        <v>26</v>
      </c>
      <c r="F11" s="5"/>
    </row>
    <row r="12" spans="1:6" x14ac:dyDescent="0.25">
      <c r="A12" s="4"/>
      <c r="B12" s="162" t="s">
        <v>87</v>
      </c>
      <c r="C12" s="163"/>
      <c r="D12" s="10">
        <f>(300000000*(1/D7)/2)/1000</f>
        <v>150</v>
      </c>
      <c r="E12" s="20" t="s">
        <v>1</v>
      </c>
      <c r="F12" s="5"/>
    </row>
    <row r="13" spans="1:6" x14ac:dyDescent="0.25">
      <c r="A13" s="4"/>
      <c r="B13" s="162" t="s">
        <v>88</v>
      </c>
      <c r="C13" s="163"/>
      <c r="D13" s="11">
        <f>300000000/(4*(1/D7)*Hardware!D7*1000000000)</f>
        <v>7.8534031413612553</v>
      </c>
      <c r="E13" s="20" t="s">
        <v>25</v>
      </c>
      <c r="F13" s="5"/>
    </row>
    <row r="14" spans="1:6" x14ac:dyDescent="0.25">
      <c r="A14" s="4"/>
      <c r="B14" s="162" t="s">
        <v>86</v>
      </c>
      <c r="C14" s="163"/>
      <c r="D14" s="10">
        <f>IF(D5="Conventional Pulsed (BW = 1/τ)",300000000/(2*(1/(D6*10^-6))),IF(OR(D5="Pulse Compression",D5= "FMCW"),300000000/(2*D8*1000000),"INVALID"))</f>
        <v>150</v>
      </c>
      <c r="E14" s="20" t="s">
        <v>24</v>
      </c>
      <c r="F14" s="5"/>
    </row>
    <row r="15" spans="1:6" x14ac:dyDescent="0.25">
      <c r="A15" s="4"/>
      <c r="B15" s="162" t="s">
        <v>62</v>
      </c>
      <c r="C15" s="163"/>
      <c r="D15" s="10">
        <f>IF(OR(D5="Conventional Pulsed (BW = 1/τ)",D5="Pulse Compression"),300000000*D6*10^-6/2,IF(D5= "FMCW",0,"INVALID"))</f>
        <v>150</v>
      </c>
      <c r="E15" s="20" t="s">
        <v>24</v>
      </c>
      <c r="F15" s="5"/>
    </row>
    <row r="16" spans="1:6" ht="15.75" thickBot="1" x14ac:dyDescent="0.3">
      <c r="A16" s="4"/>
      <c r="B16" s="160" t="s">
        <v>89</v>
      </c>
      <c r="C16" s="161"/>
      <c r="D16" s="16">
        <f>(D6*10^-6)/(1/D7)*100</f>
        <v>0.1</v>
      </c>
      <c r="E16" s="21" t="s">
        <v>21</v>
      </c>
      <c r="F16" s="5"/>
    </row>
    <row r="17" spans="1:6" ht="16.5" thickTop="1" thickBot="1" x14ac:dyDescent="0.3">
      <c r="A17" s="4"/>
      <c r="B17" s="4"/>
      <c r="C17" s="4"/>
      <c r="D17" s="4"/>
      <c r="E17" s="4"/>
      <c r="F17" s="5"/>
    </row>
    <row r="18" spans="1:6" ht="16.5" thickTop="1" thickBot="1" x14ac:dyDescent="0.3">
      <c r="A18" s="4"/>
      <c r="B18" s="205" t="s">
        <v>90</v>
      </c>
      <c r="C18" s="206"/>
      <c r="D18" s="207"/>
      <c r="E18" s="208"/>
      <c r="F18" s="5"/>
    </row>
    <row r="19" spans="1:6" ht="15.75" thickTop="1" x14ac:dyDescent="0.25">
      <c r="A19" s="4"/>
      <c r="B19" s="81" t="s">
        <v>80</v>
      </c>
      <c r="C19" s="80"/>
      <c r="D19" s="48">
        <v>290</v>
      </c>
      <c r="E19" s="18" t="s">
        <v>52</v>
      </c>
      <c r="F19" s="5"/>
    </row>
    <row r="20" spans="1:6" x14ac:dyDescent="0.25">
      <c r="A20" s="4"/>
      <c r="B20" s="183" t="s">
        <v>95</v>
      </c>
      <c r="C20" s="197"/>
      <c r="D20" s="116">
        <f>IF(Configuration!D5="Conventional Pulsed (BW = 1/τ)",10*LOG10((1.381*10^-23)*Configuration!D19*(1/(Configuration!D6*10^-6)))+30,IF(OR(Configuration!D5="Pulse Compression",Configuration!D5= "FMCW"),10*LOG10((1.381*10^-23)*Configuration!D19*Configuration!D8*1000000)+30,"INVALID"))</f>
        <v>-113.97408323522413</v>
      </c>
      <c r="E20" s="20" t="s">
        <v>6</v>
      </c>
      <c r="F20" s="5"/>
    </row>
    <row r="21" spans="1:6" x14ac:dyDescent="0.25">
      <c r="A21" s="4"/>
      <c r="B21" s="183" t="s">
        <v>94</v>
      </c>
      <c r="C21" s="197"/>
      <c r="D21" s="119">
        <v>-110</v>
      </c>
      <c r="E21" s="100" t="s">
        <v>6</v>
      </c>
      <c r="F21" s="5"/>
    </row>
    <row r="22" spans="1:6" x14ac:dyDescent="0.25">
      <c r="A22" s="4"/>
      <c r="B22" s="162" t="s">
        <v>92</v>
      </c>
      <c r="C22" s="163"/>
      <c r="D22" s="176" t="s">
        <v>76</v>
      </c>
      <c r="E22" s="177"/>
      <c r="F22" s="5"/>
    </row>
    <row r="23" spans="1:6" ht="15.75" thickBot="1" x14ac:dyDescent="0.3">
      <c r="A23" s="4"/>
      <c r="B23" s="174" t="s">
        <v>93</v>
      </c>
      <c r="C23" s="209"/>
      <c r="D23" s="101">
        <f>IF(D22="Calculated",D20,IF(D22="Manual Entry",D21,"INVALID"))</f>
        <v>-110</v>
      </c>
      <c r="E23" s="46" t="s">
        <v>6</v>
      </c>
      <c r="F23" s="5"/>
    </row>
    <row r="24" spans="1:6" ht="16.5" thickTop="1" thickBot="1" x14ac:dyDescent="0.3">
      <c r="A24" s="4"/>
      <c r="B24" s="4"/>
      <c r="C24" s="4"/>
      <c r="D24" s="4"/>
      <c r="E24" s="4"/>
      <c r="F24" s="5"/>
    </row>
    <row r="25" spans="1:6" ht="16.5" thickTop="1" thickBot="1" x14ac:dyDescent="0.3">
      <c r="A25" s="4"/>
      <c r="B25" s="205" t="s">
        <v>68</v>
      </c>
      <c r="C25" s="206"/>
      <c r="D25" s="207"/>
      <c r="E25" s="208"/>
      <c r="F25" s="5"/>
    </row>
    <row r="26" spans="1:6" ht="15.75" thickTop="1" x14ac:dyDescent="0.25">
      <c r="A26" s="23"/>
      <c r="B26" s="162" t="s">
        <v>96</v>
      </c>
      <c r="C26" s="192"/>
      <c r="D26" s="14">
        <v>1</v>
      </c>
      <c r="E26" s="20" t="s">
        <v>25</v>
      </c>
      <c r="F26" s="5"/>
    </row>
    <row r="27" spans="1:6" x14ac:dyDescent="0.25">
      <c r="A27" s="23"/>
      <c r="B27" s="163" t="s">
        <v>97</v>
      </c>
      <c r="C27" s="163"/>
      <c r="D27" s="117">
        <f>IF(D26&gt;0,Hardware!D8*10^-2/(2*SQRT(2)*PI()*D26)*1000,0)</f>
        <v>3.5352734927635057</v>
      </c>
      <c r="E27" s="20" t="s">
        <v>22</v>
      </c>
      <c r="F27" s="5"/>
    </row>
    <row r="28" spans="1:6" x14ac:dyDescent="0.25">
      <c r="A28" s="23"/>
      <c r="B28" s="162" t="s">
        <v>98</v>
      </c>
      <c r="C28" s="163"/>
      <c r="D28" s="113">
        <v>0</v>
      </c>
      <c r="E28" s="100" t="s">
        <v>22</v>
      </c>
      <c r="F28" s="5"/>
    </row>
    <row r="29" spans="1:6" x14ac:dyDescent="0.25">
      <c r="A29" s="23"/>
      <c r="B29" s="162" t="s">
        <v>99</v>
      </c>
      <c r="C29" s="163"/>
      <c r="D29" s="176" t="s">
        <v>76</v>
      </c>
      <c r="E29" s="177"/>
      <c r="F29" s="5"/>
    </row>
    <row r="30" spans="1:6" x14ac:dyDescent="0.25">
      <c r="A30" s="23"/>
      <c r="B30" s="162" t="s">
        <v>91</v>
      </c>
      <c r="C30" s="163"/>
      <c r="D30" s="118">
        <f>IF(D29="Calculated",D27,IF(D29="Manual Entry",D28,"INVALID"))</f>
        <v>0</v>
      </c>
      <c r="E30" s="20" t="s">
        <v>22</v>
      </c>
      <c r="F30" s="5"/>
    </row>
    <row r="31" spans="1:6" x14ac:dyDescent="0.25">
      <c r="A31" s="23"/>
      <c r="B31" s="162" t="s">
        <v>27</v>
      </c>
      <c r="C31" s="163"/>
      <c r="D31" s="15">
        <f>IF((D30*0.001)&lt;(2*(1/D7)),1,FLOOR(D30/(D11/1000),1))</f>
        <v>1</v>
      </c>
      <c r="E31" s="20"/>
      <c r="F31" s="5"/>
    </row>
    <row r="32" spans="1:6" ht="15.75" thickBot="1" x14ac:dyDescent="0.3">
      <c r="A32" s="23"/>
      <c r="B32" s="161" t="s">
        <v>30</v>
      </c>
      <c r="C32" s="161"/>
      <c r="D32" s="16">
        <f>10*LOG10(D31)</f>
        <v>0</v>
      </c>
      <c r="E32" s="21" t="s">
        <v>5</v>
      </c>
      <c r="F32" s="5"/>
    </row>
    <row r="33" spans="1:6" ht="15.75" thickTop="1" x14ac:dyDescent="0.25">
      <c r="A33" s="5"/>
      <c r="B33" s="5"/>
      <c r="C33" s="5"/>
      <c r="D33" s="5"/>
      <c r="E33" s="5"/>
      <c r="F33" s="5"/>
    </row>
  </sheetData>
  <sheetProtection password="E706" sheet="1" objects="1" scenarios="1" selectLockedCells="1"/>
  <mergeCells count="30">
    <mergeCell ref="B2:E2"/>
    <mergeCell ref="B20:C20"/>
    <mergeCell ref="B22:C22"/>
    <mergeCell ref="D22:E22"/>
    <mergeCell ref="B32:C32"/>
    <mergeCell ref="B16:C16"/>
    <mergeCell ref="B14:C14"/>
    <mergeCell ref="B12:C12"/>
    <mergeCell ref="B13:C13"/>
    <mergeCell ref="B15:C15"/>
    <mergeCell ref="B31:C31"/>
    <mergeCell ref="B7:C7"/>
    <mergeCell ref="B28:C28"/>
    <mergeCell ref="D29:E29"/>
    <mergeCell ref="B29:C29"/>
    <mergeCell ref="B30:C30"/>
    <mergeCell ref="B27:C27"/>
    <mergeCell ref="B6:C6"/>
    <mergeCell ref="B4:E4"/>
    <mergeCell ref="B11:C11"/>
    <mergeCell ref="B18:E18"/>
    <mergeCell ref="B21:C21"/>
    <mergeCell ref="B23:C23"/>
    <mergeCell ref="B26:C26"/>
    <mergeCell ref="B25:E25"/>
    <mergeCell ref="B5:C5"/>
    <mergeCell ref="B8:C8"/>
    <mergeCell ref="D5:E5"/>
    <mergeCell ref="B9:C9"/>
    <mergeCell ref="B10:C10"/>
  </mergeCells>
  <dataValidations count="2">
    <dataValidation type="list" allowBlank="1" showInputMessage="1" showErrorMessage="1" sqref="D22:E22 D29:E29">
      <formula1>"Calculated,Manual Entry"</formula1>
    </dataValidation>
    <dataValidation type="list" allowBlank="1" showInputMessage="1" showErrorMessage="1" sqref="D5:E5">
      <formula1>"Conventional Pulsed (BW = 1/τ),Pulse Compression,FMCW"</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zoomScale="70" zoomScaleNormal="70" workbookViewId="0">
      <selection activeCell="B34" sqref="B34"/>
    </sheetView>
  </sheetViews>
  <sheetFormatPr defaultColWidth="0" defaultRowHeight="15" zeroHeight="1" x14ac:dyDescent="0.25"/>
  <cols>
    <col min="1" max="1" width="3.7109375" style="2" customWidth="1"/>
    <col min="2" max="5" width="20.7109375" style="2" customWidth="1"/>
    <col min="6" max="6" width="3.7109375" style="2" customWidth="1"/>
    <col min="7" max="8" width="0" style="2" hidden="1" customWidth="1"/>
    <col min="9" max="16384" width="9.140625" style="2" hidden="1"/>
  </cols>
  <sheetData>
    <row r="1" spans="1:6" ht="15.75" thickBot="1" x14ac:dyDescent="0.3">
      <c r="A1" s="5"/>
      <c r="B1" s="5"/>
      <c r="C1" s="5"/>
      <c r="D1" s="5"/>
      <c r="E1" s="5"/>
      <c r="F1" s="5"/>
    </row>
    <row r="2" spans="1:6" ht="33" thickTop="1" thickBot="1" x14ac:dyDescent="0.3">
      <c r="A2" s="23"/>
      <c r="B2" s="198" t="s">
        <v>100</v>
      </c>
      <c r="C2" s="199"/>
      <c r="D2" s="199"/>
      <c r="E2" s="200"/>
      <c r="F2" s="6"/>
    </row>
    <row r="3" spans="1:6" ht="16.5" thickTop="1" thickBot="1" x14ac:dyDescent="0.3">
      <c r="A3" s="5"/>
      <c r="B3" s="5"/>
      <c r="C3" s="5"/>
      <c r="D3" s="5"/>
      <c r="E3" s="5"/>
      <c r="F3" s="5"/>
    </row>
    <row r="4" spans="1:6" ht="16.5" thickTop="1" thickBot="1" x14ac:dyDescent="0.3">
      <c r="A4" s="5"/>
      <c r="B4" s="227" t="s">
        <v>102</v>
      </c>
      <c r="C4" s="228"/>
      <c r="D4" s="228"/>
      <c r="E4" s="171"/>
      <c r="F4" s="5"/>
    </row>
    <row r="5" spans="1:6" ht="15.75" thickTop="1" x14ac:dyDescent="0.25">
      <c r="A5" s="5"/>
      <c r="B5" s="184" t="s">
        <v>101</v>
      </c>
      <c r="C5" s="221"/>
      <c r="D5" s="222" t="s">
        <v>103</v>
      </c>
      <c r="E5" s="223"/>
      <c r="F5" s="5"/>
    </row>
    <row r="6" spans="1:6" x14ac:dyDescent="0.25">
      <c r="A6" s="4"/>
      <c r="B6" s="183" t="s">
        <v>105</v>
      </c>
      <c r="C6" s="197"/>
      <c r="D6" s="12">
        <f>IF(D5="Liquid Water",80,IF(D5="Volcanic Ash",2,"INVALID"))</f>
        <v>80</v>
      </c>
      <c r="E6" s="22" t="s">
        <v>14</v>
      </c>
      <c r="F6" s="5"/>
    </row>
    <row r="7" spans="1:6" ht="15.75" thickBot="1" x14ac:dyDescent="0.3">
      <c r="A7" s="4"/>
      <c r="B7" s="174" t="s">
        <v>106</v>
      </c>
      <c r="C7" s="175"/>
      <c r="D7" s="16">
        <f>IF(D5="Liquid Water",1,IF(D5="Volcanic Ash",2.5,"INVALID"))</f>
        <v>1</v>
      </c>
      <c r="E7" s="46" t="s">
        <v>17</v>
      </c>
      <c r="F7" s="5"/>
    </row>
    <row r="8" spans="1:6" ht="15.75" thickTop="1" x14ac:dyDescent="0.25">
      <c r="A8" s="4"/>
      <c r="B8" s="193" t="s">
        <v>107</v>
      </c>
      <c r="C8" s="194"/>
      <c r="D8" s="96">
        <v>0</v>
      </c>
      <c r="E8" s="36" t="s">
        <v>14</v>
      </c>
      <c r="F8" s="5"/>
    </row>
    <row r="9" spans="1:6" ht="15.75" thickBot="1" x14ac:dyDescent="0.3">
      <c r="A9" s="4"/>
      <c r="B9" s="174" t="s">
        <v>108</v>
      </c>
      <c r="C9" s="224"/>
      <c r="D9" s="85">
        <v>0</v>
      </c>
      <c r="E9" s="37" t="s">
        <v>17</v>
      </c>
      <c r="F9" s="5"/>
    </row>
    <row r="10" spans="1:6" ht="15.75" thickTop="1" x14ac:dyDescent="0.25">
      <c r="A10" s="4"/>
      <c r="B10" s="164" t="s">
        <v>110</v>
      </c>
      <c r="C10" s="195"/>
      <c r="D10" s="225" t="s">
        <v>109</v>
      </c>
      <c r="E10" s="226"/>
      <c r="F10" s="5"/>
    </row>
    <row r="11" spans="1:6" x14ac:dyDescent="0.25">
      <c r="A11" s="4"/>
      <c r="B11" s="183" t="s">
        <v>111</v>
      </c>
      <c r="C11" s="197"/>
      <c r="D11" s="12">
        <f>IF(D10="Preset",D6,IF(D10="Custom",D8,"INVALID"))</f>
        <v>80</v>
      </c>
      <c r="E11" s="17" t="s">
        <v>14</v>
      </c>
      <c r="F11" s="5"/>
    </row>
    <row r="12" spans="1:6" ht="15.75" thickBot="1" x14ac:dyDescent="0.3">
      <c r="A12" s="4"/>
      <c r="B12" s="174" t="s">
        <v>104</v>
      </c>
      <c r="C12" s="175"/>
      <c r="D12" s="114">
        <f>IF(D10="Preset",D7,IF(D10="Custom",D9,"INVALID"))</f>
        <v>1</v>
      </c>
      <c r="E12" s="46" t="s">
        <v>17</v>
      </c>
      <c r="F12" s="5"/>
    </row>
    <row r="13" spans="1:6" ht="16.5" thickTop="1" thickBot="1" x14ac:dyDescent="0.3">
      <c r="A13" s="23"/>
      <c r="B13" s="160" t="s">
        <v>16</v>
      </c>
      <c r="C13" s="161"/>
      <c r="D13" s="75">
        <f>ABS((D6-1)/(D6+2))^2</f>
        <v>0.92816775728732892</v>
      </c>
      <c r="E13" s="21" t="s">
        <v>14</v>
      </c>
      <c r="F13" s="5"/>
    </row>
    <row r="14" spans="1:6" ht="16.5" thickTop="1" thickBot="1" x14ac:dyDescent="0.3">
      <c r="A14" s="4"/>
      <c r="B14" s="229"/>
      <c r="C14" s="229"/>
      <c r="D14" s="102"/>
      <c r="E14" s="102"/>
      <c r="F14" s="5"/>
    </row>
    <row r="15" spans="1:6" ht="16.5" thickTop="1" thickBot="1" x14ac:dyDescent="0.3">
      <c r="A15" s="23"/>
      <c r="B15" s="218" t="s">
        <v>112</v>
      </c>
      <c r="C15" s="219"/>
      <c r="D15" s="219"/>
      <c r="E15" s="220"/>
      <c r="F15" s="5"/>
    </row>
    <row r="16" spans="1:6" ht="16.5" thickTop="1" thickBot="1" x14ac:dyDescent="0.3">
      <c r="A16" s="23"/>
      <c r="B16" s="174" t="s">
        <v>114</v>
      </c>
      <c r="C16" s="224"/>
      <c r="D16" s="47">
        <v>4</v>
      </c>
      <c r="E16" s="37" t="s">
        <v>18</v>
      </c>
      <c r="F16" s="5"/>
    </row>
    <row r="17" spans="1:8" ht="16.5" thickTop="1" thickBot="1" x14ac:dyDescent="0.3">
      <c r="A17" s="5"/>
      <c r="B17" s="26" t="s">
        <v>53</v>
      </c>
      <c r="C17" s="27" t="s">
        <v>54</v>
      </c>
      <c r="D17" s="26" t="s">
        <v>19</v>
      </c>
      <c r="E17" s="26" t="s">
        <v>20</v>
      </c>
      <c r="F17" s="5"/>
    </row>
    <row r="18" spans="1:8" ht="15.75" thickTop="1" x14ac:dyDescent="0.25">
      <c r="A18" s="23"/>
      <c r="B18" s="106">
        <v>2</v>
      </c>
      <c r="C18" s="31">
        <v>1</v>
      </c>
      <c r="D18" s="103">
        <f t="shared" ref="D18:D36" si="0">($D$16/1000*$C18/100)/(4/3*PI()*(($B18)*0.000001*100/2)^3*$D$12)</f>
        <v>9549296.585513724</v>
      </c>
      <c r="E18" s="28">
        <f t="shared" ref="E18:E36" si="1">$D18*(($B18)*0.001)^6</f>
        <v>6.1115498147287827E-10</v>
      </c>
      <c r="F18" s="5"/>
    </row>
    <row r="19" spans="1:8" x14ac:dyDescent="0.25">
      <c r="A19" s="23"/>
      <c r="B19" s="107">
        <v>2.8</v>
      </c>
      <c r="C19" s="32">
        <v>2</v>
      </c>
      <c r="D19" s="104">
        <f t="shared" si="0"/>
        <v>6960128.7066426566</v>
      </c>
      <c r="E19" s="29">
        <f t="shared" si="1"/>
        <v>3.3540185383231557E-9</v>
      </c>
      <c r="F19" s="5"/>
    </row>
    <row r="20" spans="1:8" x14ac:dyDescent="0.25">
      <c r="A20" s="23"/>
      <c r="B20" s="107">
        <v>3.9</v>
      </c>
      <c r="C20" s="32">
        <v>4</v>
      </c>
      <c r="D20" s="104">
        <f t="shared" si="0"/>
        <v>5151426.8739600992</v>
      </c>
      <c r="E20" s="29">
        <f t="shared" si="1"/>
        <v>1.8126551172994826E-8</v>
      </c>
      <c r="F20" s="5"/>
    </row>
    <row r="21" spans="1:8" x14ac:dyDescent="0.25">
      <c r="A21" s="23"/>
      <c r="B21" s="108">
        <v>5.5</v>
      </c>
      <c r="C21" s="33">
        <v>7</v>
      </c>
      <c r="D21" s="104">
        <f t="shared" si="0"/>
        <v>3214188.4825771204</v>
      </c>
      <c r="E21" s="29">
        <f t="shared" si="1"/>
        <v>8.8970796287231305E-8</v>
      </c>
      <c r="F21" s="5"/>
    </row>
    <row r="22" spans="1:8" x14ac:dyDescent="0.25">
      <c r="A22" s="23"/>
      <c r="B22" s="109">
        <v>7.8</v>
      </c>
      <c r="C22" s="34">
        <v>9</v>
      </c>
      <c r="D22" s="104">
        <f t="shared" si="0"/>
        <v>1448838.8083012779</v>
      </c>
      <c r="E22" s="29">
        <f t="shared" si="1"/>
        <v>3.2627792111390688E-7</v>
      </c>
      <c r="F22" s="5"/>
    </row>
    <row r="23" spans="1:8" x14ac:dyDescent="0.25">
      <c r="A23" s="23"/>
      <c r="B23" s="107">
        <v>11</v>
      </c>
      <c r="C23" s="32">
        <v>10</v>
      </c>
      <c r="D23" s="104">
        <f t="shared" si="0"/>
        <v>573962.22903162858</v>
      </c>
      <c r="E23" s="29">
        <f t="shared" si="1"/>
        <v>1.0168091004255006E-6</v>
      </c>
      <c r="F23" s="5"/>
    </row>
    <row r="24" spans="1:8" x14ac:dyDescent="0.25">
      <c r="A24" s="23"/>
      <c r="B24" s="108">
        <v>15.6</v>
      </c>
      <c r="C24" s="33">
        <v>9</v>
      </c>
      <c r="D24" s="104">
        <f t="shared" si="0"/>
        <v>181104.85103765974</v>
      </c>
      <c r="E24" s="29">
        <f t="shared" si="1"/>
        <v>2.6102233689112551E-6</v>
      </c>
      <c r="F24" s="5"/>
    </row>
    <row r="25" spans="1:8" x14ac:dyDescent="0.25">
      <c r="A25" s="23"/>
      <c r="B25" s="109">
        <v>22.1</v>
      </c>
      <c r="C25" s="34">
        <v>9</v>
      </c>
      <c r="D25" s="104">
        <f t="shared" si="0"/>
        <v>63698.184936510479</v>
      </c>
      <c r="E25" s="29">
        <f t="shared" si="1"/>
        <v>7.4213121594103046E-6</v>
      </c>
      <c r="F25" s="5"/>
    </row>
    <row r="26" spans="1:8" x14ac:dyDescent="0.25">
      <c r="A26" s="23"/>
      <c r="B26" s="108">
        <v>31.2</v>
      </c>
      <c r="C26" s="33">
        <v>7</v>
      </c>
      <c r="D26" s="104">
        <f t="shared" si="0"/>
        <v>17607.416073105807</v>
      </c>
      <c r="E26" s="29">
        <f t="shared" si="1"/>
        <v>1.6241389851003363E-5</v>
      </c>
      <c r="F26" s="5"/>
    </row>
    <row r="27" spans="1:8" x14ac:dyDescent="0.25">
      <c r="A27" s="23"/>
      <c r="B27" s="109">
        <v>44.2</v>
      </c>
      <c r="C27" s="34">
        <v>4</v>
      </c>
      <c r="D27" s="104">
        <f t="shared" si="0"/>
        <v>3538.7880520283602</v>
      </c>
      <c r="E27" s="29">
        <f t="shared" si="1"/>
        <v>2.6386887677903308E-5</v>
      </c>
      <c r="F27" s="5"/>
    </row>
    <row r="28" spans="1:8" x14ac:dyDescent="0.25">
      <c r="A28" s="23"/>
      <c r="B28" s="108">
        <v>62.5</v>
      </c>
      <c r="C28" s="33">
        <v>6</v>
      </c>
      <c r="D28" s="104">
        <f t="shared" si="0"/>
        <v>1877.4681030846814</v>
      </c>
      <c r="E28" s="29">
        <f t="shared" si="1"/>
        <v>1.119058193614889E-4</v>
      </c>
      <c r="F28" s="5"/>
    </row>
    <row r="29" spans="1:8" x14ac:dyDescent="0.25">
      <c r="A29" s="23"/>
      <c r="B29" s="109">
        <v>88.4</v>
      </c>
      <c r="C29" s="34">
        <v>11</v>
      </c>
      <c r="D29" s="104">
        <f t="shared" si="0"/>
        <v>1216.4583928847485</v>
      </c>
      <c r="E29" s="29">
        <f t="shared" si="1"/>
        <v>5.8051152891387258E-4</v>
      </c>
      <c r="F29" s="5"/>
    </row>
    <row r="30" spans="1:8" x14ac:dyDescent="0.25">
      <c r="A30" s="23"/>
      <c r="B30" s="108">
        <v>125</v>
      </c>
      <c r="C30" s="33">
        <v>17</v>
      </c>
      <c r="D30" s="104">
        <f t="shared" si="0"/>
        <v>664.93661984249138</v>
      </c>
      <c r="E30" s="29">
        <f t="shared" si="1"/>
        <v>2.536531905527082E-3</v>
      </c>
      <c r="F30" s="5"/>
      <c r="H30" s="1"/>
    </row>
    <row r="31" spans="1:8" x14ac:dyDescent="0.25">
      <c r="A31" s="23"/>
      <c r="B31" s="109">
        <v>177</v>
      </c>
      <c r="C31" s="34">
        <v>4</v>
      </c>
      <c r="D31" s="104">
        <f t="shared" si="0"/>
        <v>55.106339217204955</v>
      </c>
      <c r="E31" s="29">
        <f t="shared" si="1"/>
        <v>1.6944983856888955E-3</v>
      </c>
      <c r="F31" s="5"/>
    </row>
    <row r="32" spans="1:8" x14ac:dyDescent="0.25">
      <c r="A32" s="23"/>
      <c r="B32" s="108">
        <v>250</v>
      </c>
      <c r="C32" s="33">
        <v>2</v>
      </c>
      <c r="D32" s="104">
        <f t="shared" si="0"/>
        <v>9.7784797035660489</v>
      </c>
      <c r="E32" s="29">
        <f t="shared" si="1"/>
        <v>2.3873241463784299E-3</v>
      </c>
      <c r="F32" s="5"/>
    </row>
    <row r="33" spans="1:6" x14ac:dyDescent="0.25">
      <c r="A33" s="23"/>
      <c r="B33" s="109">
        <v>354</v>
      </c>
      <c r="C33" s="34">
        <v>0</v>
      </c>
      <c r="D33" s="104">
        <f t="shared" si="0"/>
        <v>0</v>
      </c>
      <c r="E33" s="29">
        <f t="shared" si="1"/>
        <v>0</v>
      </c>
      <c r="F33" s="5"/>
    </row>
    <row r="34" spans="1:6" x14ac:dyDescent="0.25">
      <c r="A34" s="23"/>
      <c r="B34" s="107">
        <v>500</v>
      </c>
      <c r="C34" s="32">
        <v>0</v>
      </c>
      <c r="D34" s="104">
        <f t="shared" si="0"/>
        <v>0</v>
      </c>
      <c r="E34" s="29">
        <f t="shared" si="1"/>
        <v>0</v>
      </c>
      <c r="F34" s="5"/>
    </row>
    <row r="35" spans="1:6" x14ac:dyDescent="0.25">
      <c r="A35" s="23"/>
      <c r="B35" s="107">
        <v>707</v>
      </c>
      <c r="C35" s="32">
        <v>0</v>
      </c>
      <c r="D35" s="104">
        <f t="shared" si="0"/>
        <v>0</v>
      </c>
      <c r="E35" s="29">
        <f t="shared" si="1"/>
        <v>0</v>
      </c>
      <c r="F35" s="5"/>
    </row>
    <row r="36" spans="1:6" ht="15.75" thickBot="1" x14ac:dyDescent="0.3">
      <c r="A36" s="23"/>
      <c r="B36" s="110">
        <v>1000</v>
      </c>
      <c r="C36" s="35">
        <v>0</v>
      </c>
      <c r="D36" s="105">
        <f t="shared" si="0"/>
        <v>0</v>
      </c>
      <c r="E36" s="30">
        <f t="shared" si="1"/>
        <v>0</v>
      </c>
      <c r="F36" s="5"/>
    </row>
    <row r="37" spans="1:6" ht="140.1" customHeight="1" thickTop="1" thickBot="1" x14ac:dyDescent="0.3">
      <c r="A37" s="4"/>
      <c r="B37" s="115"/>
      <c r="C37" s="212"/>
      <c r="D37" s="212"/>
      <c r="E37" s="213"/>
      <c r="F37" s="5"/>
    </row>
    <row r="38" spans="1:6" ht="15.75" thickTop="1" x14ac:dyDescent="0.25">
      <c r="A38" s="5"/>
      <c r="B38" s="214" t="s">
        <v>113</v>
      </c>
      <c r="C38" s="215"/>
      <c r="D38" s="111">
        <f>SUM(E18:E36)</f>
        <v>7.3648857484695162E-3</v>
      </c>
      <c r="E38" s="112" t="s">
        <v>57</v>
      </c>
      <c r="F38" s="5"/>
    </row>
    <row r="39" spans="1:6" ht="15.75" thickBot="1" x14ac:dyDescent="0.3">
      <c r="A39" s="5"/>
      <c r="B39" s="216"/>
      <c r="C39" s="217"/>
      <c r="D39" s="45">
        <f>10*LOG10(D38)</f>
        <v>-21.328339859828034</v>
      </c>
      <c r="E39" s="40" t="s">
        <v>8</v>
      </c>
      <c r="F39" s="5"/>
    </row>
    <row r="40" spans="1:6" ht="15.75" thickTop="1" x14ac:dyDescent="0.25">
      <c r="A40" s="5"/>
      <c r="B40" s="5"/>
      <c r="C40" s="5"/>
      <c r="D40" s="5"/>
      <c r="E40" s="5"/>
      <c r="F40" s="5"/>
    </row>
  </sheetData>
  <sheetProtection password="E706" sheet="1" objects="1" scenarios="1" selectLockedCells="1"/>
  <mergeCells count="18">
    <mergeCell ref="B2:E2"/>
    <mergeCell ref="B4:E4"/>
    <mergeCell ref="B6:C6"/>
    <mergeCell ref="B13:C13"/>
    <mergeCell ref="B14:C14"/>
    <mergeCell ref="B12:C12"/>
    <mergeCell ref="C37:E37"/>
    <mergeCell ref="B38:C39"/>
    <mergeCell ref="B15:E15"/>
    <mergeCell ref="B5:C5"/>
    <mergeCell ref="D5:E5"/>
    <mergeCell ref="B7:C7"/>
    <mergeCell ref="B8:C8"/>
    <mergeCell ref="B9:C9"/>
    <mergeCell ref="B10:C10"/>
    <mergeCell ref="D10:E10"/>
    <mergeCell ref="B11:C11"/>
    <mergeCell ref="B16:C16"/>
  </mergeCells>
  <dataValidations disablePrompts="1" count="2">
    <dataValidation type="list" allowBlank="1" showInputMessage="1" showErrorMessage="1" sqref="D5:E5">
      <formula1>"Liquid Water,Volcanic Ash"</formula1>
    </dataValidation>
    <dataValidation type="list" allowBlank="1" showInputMessage="1" showErrorMessage="1" sqref="D10:E10">
      <formula1>"Preset,Custom"</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zoomScale="85" zoomScaleNormal="85" workbookViewId="0">
      <selection activeCell="M13" sqref="M13"/>
    </sheetView>
  </sheetViews>
  <sheetFormatPr defaultColWidth="0" defaultRowHeight="15" zeroHeight="1" x14ac:dyDescent="0.25"/>
  <cols>
    <col min="1" max="1" width="3.7109375" style="2" customWidth="1"/>
    <col min="2" max="2" width="20.7109375" style="2" customWidth="1"/>
    <col min="3" max="3" width="12.7109375" style="2" customWidth="1"/>
    <col min="4" max="4" width="12.7109375" style="129" customWidth="1"/>
    <col min="5" max="7" width="12.7109375" style="2" customWidth="1"/>
    <col min="8" max="8" width="12.7109375" style="135" customWidth="1"/>
    <col min="9" max="13" width="12.7109375" style="2" customWidth="1"/>
    <col min="14" max="14" width="3.7109375" style="2" customWidth="1"/>
    <col min="15" max="16384" width="9.140625" style="2" hidden="1"/>
  </cols>
  <sheetData>
    <row r="1" spans="1:14" ht="15.75" thickBot="1" x14ac:dyDescent="0.3">
      <c r="A1" s="4"/>
      <c r="B1" s="5"/>
      <c r="C1" s="5"/>
      <c r="D1" s="124"/>
      <c r="E1" s="5"/>
      <c r="F1" s="5"/>
      <c r="G1" s="5"/>
      <c r="H1" s="130"/>
      <c r="I1" s="5"/>
      <c r="J1" s="5"/>
      <c r="K1" s="5"/>
      <c r="L1" s="5"/>
      <c r="M1" s="5"/>
      <c r="N1" s="5"/>
    </row>
    <row r="2" spans="1:14" ht="15.75" thickTop="1" x14ac:dyDescent="0.25">
      <c r="A2" s="4"/>
      <c r="B2" s="49" t="s">
        <v>42</v>
      </c>
      <c r="C2" s="50">
        <f>Hardware!D7</f>
        <v>9.5500000000000007</v>
      </c>
      <c r="D2" s="125" t="s">
        <v>0</v>
      </c>
      <c r="E2" s="5"/>
      <c r="F2" s="4"/>
      <c r="G2" s="23"/>
      <c r="H2" s="131"/>
      <c r="I2" s="66"/>
      <c r="J2" s="66"/>
      <c r="K2" s="66"/>
      <c r="L2" s="66"/>
      <c r="M2" s="67"/>
      <c r="N2" s="5"/>
    </row>
    <row r="3" spans="1:14" x14ac:dyDescent="0.25">
      <c r="A3" s="4"/>
      <c r="B3" s="51" t="s">
        <v>43</v>
      </c>
      <c r="C3" s="15">
        <f>Calculations!D6</f>
        <v>10</v>
      </c>
      <c r="D3" s="126" t="s">
        <v>21</v>
      </c>
      <c r="E3" s="5"/>
      <c r="F3" s="4"/>
      <c r="G3" s="23"/>
      <c r="H3" s="132"/>
      <c r="I3" s="68"/>
      <c r="J3" s="68"/>
      <c r="K3" s="68"/>
      <c r="L3" s="68"/>
      <c r="M3" s="69"/>
      <c r="N3" s="5"/>
    </row>
    <row r="4" spans="1:14" x14ac:dyDescent="0.25">
      <c r="A4" s="4"/>
      <c r="B4" s="51" t="s">
        <v>44</v>
      </c>
      <c r="C4" s="15">
        <f>Calculations!D7</f>
        <v>25</v>
      </c>
      <c r="D4" s="126" t="s">
        <v>31</v>
      </c>
      <c r="E4" s="5"/>
      <c r="F4" s="4"/>
      <c r="G4" s="23"/>
      <c r="H4" s="132"/>
      <c r="I4" s="68"/>
      <c r="J4" s="68"/>
      <c r="K4" s="68"/>
      <c r="L4" s="68"/>
      <c r="M4" s="69"/>
      <c r="N4" s="5"/>
    </row>
    <row r="5" spans="1:14" x14ac:dyDescent="0.25">
      <c r="A5" s="4"/>
      <c r="B5" s="51" t="s">
        <v>45</v>
      </c>
      <c r="C5" s="15">
        <f>Calculations!D8</f>
        <v>0</v>
      </c>
      <c r="D5" s="126" t="s">
        <v>2</v>
      </c>
      <c r="E5" s="5"/>
      <c r="F5" s="4"/>
      <c r="G5" s="23"/>
      <c r="H5" s="132"/>
      <c r="I5" s="68"/>
      <c r="J5" s="68"/>
      <c r="K5" s="68"/>
      <c r="L5" s="68"/>
      <c r="M5" s="69"/>
      <c r="N5" s="5"/>
    </row>
    <row r="6" spans="1:14" x14ac:dyDescent="0.25">
      <c r="A6" s="4"/>
      <c r="B6" s="51" t="s">
        <v>46</v>
      </c>
      <c r="C6" s="15">
        <f>Calculations!D9</f>
        <v>40</v>
      </c>
      <c r="D6" s="126" t="s">
        <v>1</v>
      </c>
      <c r="E6" s="5"/>
      <c r="F6" s="4"/>
      <c r="G6" s="23"/>
      <c r="H6" s="132"/>
      <c r="I6" s="68"/>
      <c r="J6" s="68"/>
      <c r="K6" s="68"/>
      <c r="L6" s="68"/>
      <c r="M6" s="69"/>
      <c r="N6" s="5"/>
    </row>
    <row r="7" spans="1:14" ht="30.75" thickBot="1" x14ac:dyDescent="0.3">
      <c r="A7" s="4"/>
      <c r="B7" s="52" t="s">
        <v>47</v>
      </c>
      <c r="C7" s="25">
        <f>SUM($M10:$M110)*2</f>
        <v>0.70944385502020946</v>
      </c>
      <c r="D7" s="127" t="s">
        <v>5</v>
      </c>
      <c r="E7" s="5"/>
      <c r="F7" s="4"/>
      <c r="G7" s="23"/>
      <c r="H7" s="133"/>
      <c r="I7" s="70"/>
      <c r="J7" s="70"/>
      <c r="K7" s="70"/>
      <c r="L7" s="70"/>
      <c r="M7" s="71"/>
      <c r="N7" s="5"/>
    </row>
    <row r="8" spans="1:14" ht="16.5" thickTop="1" thickBot="1" x14ac:dyDescent="0.3">
      <c r="A8" s="4"/>
      <c r="B8" s="5"/>
      <c r="C8" s="5"/>
      <c r="D8" s="124"/>
      <c r="E8" s="5"/>
      <c r="F8" s="5"/>
      <c r="G8" s="5"/>
      <c r="H8" s="130"/>
      <c r="I8" s="5"/>
      <c r="J8" s="5"/>
      <c r="K8" s="5"/>
      <c r="L8" s="5"/>
      <c r="M8" s="5"/>
      <c r="N8" s="5"/>
    </row>
    <row r="9" spans="1:14" ht="31.5" thickTop="1" thickBot="1" x14ac:dyDescent="0.3">
      <c r="A9" s="4"/>
      <c r="B9" s="53" t="s">
        <v>33</v>
      </c>
      <c r="C9" s="54" t="s">
        <v>60</v>
      </c>
      <c r="D9" s="128" t="s">
        <v>59</v>
      </c>
      <c r="E9" s="56" t="s">
        <v>58</v>
      </c>
      <c r="F9" s="55" t="s">
        <v>34</v>
      </c>
      <c r="G9" s="56" t="s">
        <v>35</v>
      </c>
      <c r="H9" s="134" t="s">
        <v>36</v>
      </c>
      <c r="I9" s="57" t="s">
        <v>37</v>
      </c>
      <c r="J9" s="58" t="s">
        <v>32</v>
      </c>
      <c r="K9" s="56" t="s">
        <v>38</v>
      </c>
      <c r="L9" s="55" t="s">
        <v>39</v>
      </c>
      <c r="M9" s="56" t="s">
        <v>40</v>
      </c>
      <c r="N9" s="5"/>
    </row>
    <row r="10" spans="1:14" ht="15.75" thickTop="1" x14ac:dyDescent="0.25">
      <c r="A10" s="4">
        <v>0</v>
      </c>
      <c r="B10" s="59">
        <f t="shared" ref="B10:B41" si="0">$C$6/100*$A10</f>
        <v>0</v>
      </c>
      <c r="C10" s="60">
        <f t="shared" ref="C10:C41" si="1">($B10^2+(4/3*6371)^2+2*$B10*4/3*6371*SIN($C$5*PI()/180))^0.5-4/3*6371</f>
        <v>0</v>
      </c>
      <c r="D10" s="61">
        <f>IF(C10&lt;94,1013.25*EXP(8.387*(-$C10)/((8.387)*(8.387-0.0887*$C10))),10^-100)</f>
        <v>1013.25</v>
      </c>
      <c r="E10" s="60">
        <f>IF(IF($C10&lt;=10,(($C$4+273.15)-0.0065*$C10*1000)-273.15,0.0000154437*$C10^4 - 0.00442554*$C10^3 + 0.363543*$C10^2 - 9.46843*$C10 + 18.5219-(-44.0792-((($C$4+273.15)-0.0065*10*1000)-273.15)))&lt;-250,-250,IF($C10&lt;=10,(($C$4+273.15)-0.0065*$C10*1000)-273.15,0.0000154437*$C10^4 - 0.00442554*$C10^3 + 0.363543*$C10^2 - 9.46843*$C10 + 18.5219-(-44.0792-((($C$4+273.15)-0.0065*10*1000)-273.15))))</f>
        <v>25</v>
      </c>
      <c r="F10" s="61">
        <f>$D10/1013.25</f>
        <v>1</v>
      </c>
      <c r="G10" s="60">
        <f t="shared" ref="G10:G41" si="2">($C$4+273.15)/(273.15+$E10)</f>
        <v>1</v>
      </c>
      <c r="H10" s="61">
        <f>IF(E10&gt;-235,6.112*EXP(17.67*$E10/($E10+243.5))*100,0)</f>
        <v>3167.4294361872849</v>
      </c>
      <c r="I10" s="62">
        <f t="shared" ref="I10:I41" si="3">$C$3*$H10/100</f>
        <v>316.74294361872848</v>
      </c>
      <c r="J10" s="61">
        <f>1000*$I10/(461.5*($E10+273.15))</f>
        <v>2.3019740811837575</v>
      </c>
      <c r="K10" s="60">
        <f t="shared" ref="K10:K41" si="4">IF($C$2&lt;=57,(7.27*$G10/($C$2^2+0.351*$F10^2*$G10^2)+7.5/(($C$2-57)^2+2.44*$F10^2*$G10^2))*$C$2^2*$F10^2*$G10^2*0.001,IF(AND($C$2&gt;=63,$C$2&lt;=350),(2*10^-4*$G10^1.5*(1-1.2*10^-5*$C$2^1.5)+(4/(($C$2-63)^2+1.5*$F10^2*$G10^2))+(0.28*$G10^2/(($C$2-118.75)^2+2.84*$F10^2*$G10^2)))*$C$2^2*$F10^2*$G10^2*0.001,IF(AND($C$2&gt;=57,$C$2&lt;63),(($C$2-57)*($C$2-60)/18)*11-1.66*$F10^2*$G10^8.5*($C$2-57)*($C$2-63)+(($C$2-60)*($C$2-63)/18)*11,"OUT OF RANGE")))</f>
        <v>7.5456046748982172E-3</v>
      </c>
      <c r="L10" s="61">
        <f t="shared" ref="L10:L41" si="5">IF($C$2&lt;=350,(3.27*10^-2*$G10+1.67*10^-3*$J10*$G10^7/$F10+7.7*10^-4*$C$2^0.5+(3.79/(($C$2-22.235)^2+9.18*$F10^2*$G10))+(11.73*$G10/(($C$2-183.31)^2+11.85*$F10^2*$G10))+(4.01*$G10/(($C$2-325.153)^2+10.44*$F10^2*$G10)))*$C$2^2*$J10*$F10*$G10*10^-4,"OUT OF RANGE")</f>
        <v>1.2939980486340323E-3</v>
      </c>
      <c r="M10" s="60">
        <f t="shared" ref="M10:M41" si="6">($K10+$L10)*($C$6/100)</f>
        <v>3.5358410894129003E-3</v>
      </c>
      <c r="N10" s="5"/>
    </row>
    <row r="11" spans="1:14" x14ac:dyDescent="0.25">
      <c r="A11" s="4">
        <v>1</v>
      </c>
      <c r="B11" s="59">
        <f t="shared" si="0"/>
        <v>0.4</v>
      </c>
      <c r="C11" s="60">
        <f t="shared" si="1"/>
        <v>9.4176739366957918E-6</v>
      </c>
      <c r="D11" s="61">
        <f t="shared" ref="D11:D74" si="7">IF(C11&lt;94,1013.25*EXP(8.387*(-$C11)/((8.387)*(8.387-0.0887*$C11))),10^-100)</f>
        <v>1013.2488622327759</v>
      </c>
      <c r="E11" s="60">
        <f>IF(E10&lt;=-250,-250,IF(IF($C11&lt;=10,(($C$4+273.15)-0.0065*$C11*1000)-273.15,0.0000154437*$C11^4 - 0.00442554*$C11^3 + 0.363543*$C11^2 - 9.46843*$C11 + 18.5219-(-44.0792-((($C$4+273.15)-0.0065*10*1000)-273.15)))&lt;-250,-250,IF($C11&lt;=10,(($C$4+273.15)-0.0065*$C11*1000)-273.15,0.0000154437*$C11^4 - 0.00442554*$C11^3 + 0.363543*$C11^2 - 9.46843*$C11 + 18.5219-(-44.0792-((($C$4+273.15)-0.0065*10*1000)-273.15)))))</f>
        <v>24.999938785119411</v>
      </c>
      <c r="F11" s="61">
        <f t="shared" ref="F11:F74" si="8">$D11/1013.25</f>
        <v>0.9999988771110544</v>
      </c>
      <c r="G11" s="60">
        <f t="shared" si="2"/>
        <v>1.0000002053157577</v>
      </c>
      <c r="H11" s="61">
        <f t="shared" ref="H11:H74" si="9">IF(E11&gt;-235,6.112*EXP(17.67*$E11/($E11+243.5))*100,0)</f>
        <v>3167.4178641400995</v>
      </c>
      <c r="I11" s="60">
        <f t="shared" si="3"/>
        <v>316.74178641400994</v>
      </c>
      <c r="J11" s="61">
        <f t="shared" ref="J11:J74" si="10">1000*$I11/(461.5*($E11+273.15))</f>
        <v>2.3019661436648415</v>
      </c>
      <c r="K11" s="60">
        <f t="shared" si="4"/>
        <v>7.5455923660880308E-3</v>
      </c>
      <c r="L11" s="61">
        <f t="shared" si="5"/>
        <v>1.293992522072025E-3</v>
      </c>
      <c r="M11" s="60">
        <f t="shared" si="6"/>
        <v>3.5358339552640223E-3</v>
      </c>
      <c r="N11" s="5"/>
    </row>
    <row r="12" spans="1:14" x14ac:dyDescent="0.25">
      <c r="A12" s="4">
        <v>2</v>
      </c>
      <c r="B12" s="59">
        <f t="shared" si="0"/>
        <v>0.8</v>
      </c>
      <c r="C12" s="60">
        <f t="shared" si="1"/>
        <v>3.7670695746783167E-5</v>
      </c>
      <c r="D12" s="61">
        <f t="shared" si="7"/>
        <v>1013.2454489374089</v>
      </c>
      <c r="E12" s="60">
        <f t="shared" ref="E12:E75" si="11">IF(E11&lt;=-250,-250,IF(IF($C12&lt;=10,(($C$4+273.15)-0.0065*$C12*1000)-273.15,0.0000154437*$C12^4 - 0.00442554*$C12^3 + 0.363543*$C12^2 - 9.46843*$C12 + 18.5219-(-44.0792-((($C$4+273.15)-0.0065*10*1000)-273.15)))&lt;-250,-250,IF($C12&lt;=10,(($C$4+273.15)-0.0065*$C12*1000)-273.15,0.0000154437*$C12^4 - 0.00442554*$C12^3 + 0.363543*$C12^2 - 9.46843*$C12 + 18.5219-(-44.0792-((($C$4+273.15)-0.0065*10*1000)-273.15)))))</f>
        <v>24.999755140477646</v>
      </c>
      <c r="F12" s="61">
        <f t="shared" si="8"/>
        <v>0.99999550845044061</v>
      </c>
      <c r="G12" s="60">
        <f t="shared" si="2"/>
        <v>1.0000008212635367</v>
      </c>
      <c r="H12" s="61">
        <f t="shared" si="9"/>
        <v>3167.3831482205546</v>
      </c>
      <c r="I12" s="60">
        <f t="shared" si="3"/>
        <v>316.73831482205549</v>
      </c>
      <c r="J12" s="61">
        <f t="shared" si="10"/>
        <v>2.3019423312498879</v>
      </c>
      <c r="K12" s="60">
        <f t="shared" si="4"/>
        <v>7.5455554397629099E-3</v>
      </c>
      <c r="L12" s="61">
        <f t="shared" si="5"/>
        <v>1.293975942513238E-3</v>
      </c>
      <c r="M12" s="60">
        <f t="shared" si="6"/>
        <v>3.5358125529104593E-3</v>
      </c>
      <c r="N12" s="5"/>
    </row>
    <row r="13" spans="1:14" x14ac:dyDescent="0.25">
      <c r="A13" s="4">
        <v>3</v>
      </c>
      <c r="B13" s="59">
        <f t="shared" si="0"/>
        <v>1.2000000000000002</v>
      </c>
      <c r="C13" s="60">
        <f t="shared" si="1"/>
        <v>8.4759063611272722E-5</v>
      </c>
      <c r="D13" s="61">
        <f t="shared" si="7"/>
        <v>1013.2397601330359</v>
      </c>
      <c r="E13" s="60">
        <f t="shared" si="11"/>
        <v>24.999449066086527</v>
      </c>
      <c r="F13" s="61">
        <f t="shared" si="8"/>
        <v>0.99998989403704508</v>
      </c>
      <c r="G13" s="60">
        <f t="shared" si="2"/>
        <v>1.0000018478448147</v>
      </c>
      <c r="H13" s="61">
        <f t="shared" si="9"/>
        <v>3167.3252890969002</v>
      </c>
      <c r="I13" s="60">
        <f t="shared" si="3"/>
        <v>316.73252890969002</v>
      </c>
      <c r="J13" s="61">
        <f t="shared" si="10"/>
        <v>2.3019026443657977</v>
      </c>
      <c r="K13" s="60">
        <f t="shared" si="4"/>
        <v>7.5454938962415483E-3</v>
      </c>
      <c r="L13" s="61">
        <f t="shared" si="5"/>
        <v>1.2939483103404298E-3</v>
      </c>
      <c r="M13" s="60">
        <f t="shared" si="6"/>
        <v>3.5357768826327915E-3</v>
      </c>
      <c r="N13" s="5"/>
    </row>
    <row r="14" spans="1:14" x14ac:dyDescent="0.25">
      <c r="A14" s="4">
        <v>4</v>
      </c>
      <c r="B14" s="59">
        <f t="shared" si="0"/>
        <v>1.6</v>
      </c>
      <c r="C14" s="60">
        <f t="shared" si="1"/>
        <v>1.5068277934915386E-4</v>
      </c>
      <c r="D14" s="61">
        <f t="shared" si="7"/>
        <v>1013.2317958509653</v>
      </c>
      <c r="E14" s="60">
        <f t="shared" si="11"/>
        <v>24.99902056193423</v>
      </c>
      <c r="F14" s="61">
        <f t="shared" si="8"/>
        <v>0.99998203390176688</v>
      </c>
      <c r="G14" s="60">
        <f t="shared" si="2"/>
        <v>1.000003285062161</v>
      </c>
      <c r="H14" s="61">
        <f t="shared" si="9"/>
        <v>3167.2442878769098</v>
      </c>
      <c r="I14" s="60">
        <f t="shared" si="3"/>
        <v>316.72442878769101</v>
      </c>
      <c r="J14" s="61">
        <f t="shared" si="10"/>
        <v>2.3018470837199745</v>
      </c>
      <c r="K14" s="60">
        <f t="shared" si="4"/>
        <v>7.5454077360487771E-3</v>
      </c>
      <c r="L14" s="61">
        <f t="shared" si="5"/>
        <v>1.2939096261886738E-3</v>
      </c>
      <c r="M14" s="60">
        <f t="shared" si="6"/>
        <v>3.5357269448949807E-3</v>
      </c>
      <c r="N14" s="5"/>
    </row>
    <row r="15" spans="1:14" x14ac:dyDescent="0.25">
      <c r="A15" s="4">
        <v>5</v>
      </c>
      <c r="B15" s="59">
        <f t="shared" si="0"/>
        <v>2</v>
      </c>
      <c r="C15" s="60">
        <f t="shared" si="1"/>
        <v>2.3544184296042658E-4</v>
      </c>
      <c r="D15" s="61">
        <f t="shared" si="7"/>
        <v>1013.2215561353358</v>
      </c>
      <c r="E15" s="60">
        <f t="shared" si="11"/>
        <v>24.998469628020757</v>
      </c>
      <c r="F15" s="61">
        <f t="shared" si="8"/>
        <v>0.99997192808816759</v>
      </c>
      <c r="G15" s="60">
        <f t="shared" si="2"/>
        <v>1.0000051329191162</v>
      </c>
      <c r="H15" s="61">
        <f t="shared" si="9"/>
        <v>3167.1401461145524</v>
      </c>
      <c r="I15" s="60">
        <f t="shared" si="3"/>
        <v>316.71401461145524</v>
      </c>
      <c r="J15" s="61">
        <f t="shared" si="10"/>
        <v>2.3017756503049069</v>
      </c>
      <c r="K15" s="60">
        <f t="shared" si="4"/>
        <v>7.5452969599226569E-3</v>
      </c>
      <c r="L15" s="61">
        <f t="shared" si="5"/>
        <v>1.2938598909485375E-3</v>
      </c>
      <c r="M15" s="60">
        <f t="shared" si="6"/>
        <v>3.5356627403484776E-3</v>
      </c>
      <c r="N15" s="5"/>
    </row>
    <row r="16" spans="1:14" x14ac:dyDescent="0.25">
      <c r="A16" s="4">
        <v>6</v>
      </c>
      <c r="B16" s="59">
        <f t="shared" si="0"/>
        <v>2.4000000000000004</v>
      </c>
      <c r="C16" s="60">
        <f t="shared" si="1"/>
        <v>3.3903625080711208E-4</v>
      </c>
      <c r="D16" s="61">
        <f t="shared" si="7"/>
        <v>1013.2090410433366</v>
      </c>
      <c r="E16" s="60">
        <f t="shared" si="11"/>
        <v>24.997796264369754</v>
      </c>
      <c r="F16" s="61">
        <f t="shared" si="8"/>
        <v>0.99995957665268842</v>
      </c>
      <c r="G16" s="60">
        <f t="shared" si="2"/>
        <v>1.0000073914201542</v>
      </c>
      <c r="H16" s="61">
        <f t="shared" si="9"/>
        <v>3167.0128658121866</v>
      </c>
      <c r="I16" s="60">
        <f t="shared" si="3"/>
        <v>316.70128658121865</v>
      </c>
      <c r="J16" s="61">
        <f t="shared" si="10"/>
        <v>2.3016883453996733</v>
      </c>
      <c r="K16" s="60">
        <f t="shared" si="4"/>
        <v>7.5451615688168763E-3</v>
      </c>
      <c r="L16" s="61">
        <f t="shared" si="5"/>
        <v>1.2937991057671162E-3</v>
      </c>
      <c r="M16" s="60">
        <f t="shared" si="6"/>
        <v>3.5355842698335973E-3</v>
      </c>
      <c r="N16" s="5"/>
    </row>
    <row r="17" spans="1:14" x14ac:dyDescent="0.25">
      <c r="A17" s="4">
        <v>7</v>
      </c>
      <c r="B17" s="59">
        <f t="shared" si="0"/>
        <v>2.8000000000000003</v>
      </c>
      <c r="C17" s="60">
        <f t="shared" si="1"/>
        <v>4.6146600470819976E-4</v>
      </c>
      <c r="D17" s="61">
        <f t="shared" si="7"/>
        <v>1013.1942506441075</v>
      </c>
      <c r="E17" s="60">
        <f t="shared" si="11"/>
        <v>24.997000470969397</v>
      </c>
      <c r="F17" s="61">
        <f t="shared" si="8"/>
        <v>0.99994497966356521</v>
      </c>
      <c r="G17" s="60">
        <f t="shared" si="2"/>
        <v>1.000010060570879</v>
      </c>
      <c r="H17" s="61">
        <f t="shared" si="9"/>
        <v>3166.8624494093324</v>
      </c>
      <c r="I17" s="60">
        <f t="shared" si="3"/>
        <v>316.68624494093325</v>
      </c>
      <c r="J17" s="61">
        <f t="shared" si="10"/>
        <v>2.3015851705622512</v>
      </c>
      <c r="K17" s="60">
        <f t="shared" si="4"/>
        <v>7.5450015638888436E-3</v>
      </c>
      <c r="L17" s="61">
        <f t="shared" si="5"/>
        <v>1.2937272720426668E-3</v>
      </c>
      <c r="M17" s="60">
        <f t="shared" si="6"/>
        <v>3.5354915343726043E-3</v>
      </c>
      <c r="N17" s="5"/>
    </row>
    <row r="18" spans="1:14" x14ac:dyDescent="0.25">
      <c r="A18" s="4">
        <v>8</v>
      </c>
      <c r="B18" s="59">
        <f t="shared" si="0"/>
        <v>3.2</v>
      </c>
      <c r="C18" s="60">
        <f t="shared" si="1"/>
        <v>6.0273110284470022E-4</v>
      </c>
      <c r="D18" s="61">
        <f t="shared" si="7"/>
        <v>1013.1771850198378</v>
      </c>
      <c r="E18" s="60">
        <f t="shared" si="11"/>
        <v>24.996082247831509</v>
      </c>
      <c r="F18" s="61">
        <f t="shared" si="8"/>
        <v>0.99992813720191243</v>
      </c>
      <c r="G18" s="60">
        <f t="shared" si="2"/>
        <v>1.0000131403778274</v>
      </c>
      <c r="H18" s="61">
        <f t="shared" si="9"/>
        <v>3166.6888997937731</v>
      </c>
      <c r="I18" s="60">
        <f t="shared" si="3"/>
        <v>316.6688899793773</v>
      </c>
      <c r="J18" s="61">
        <f t="shared" si="10"/>
        <v>2.3014661276371342</v>
      </c>
      <c r="K18" s="60">
        <f t="shared" si="4"/>
        <v>7.544816946511543E-3</v>
      </c>
      <c r="L18" s="61">
        <f t="shared" si="5"/>
        <v>1.293644391429884E-3</v>
      </c>
      <c r="M18" s="60">
        <f t="shared" si="6"/>
        <v>3.535384535176571E-3</v>
      </c>
      <c r="N18" s="5"/>
    </row>
    <row r="19" spans="1:14" x14ac:dyDescent="0.25">
      <c r="A19" s="4">
        <v>9</v>
      </c>
      <c r="B19" s="59">
        <f t="shared" si="0"/>
        <v>3.6</v>
      </c>
      <c r="C19" s="60">
        <f t="shared" si="1"/>
        <v>7.6283154521661345E-4</v>
      </c>
      <c r="D19" s="61">
        <f t="shared" si="7"/>
        <v>1013.1578442651062</v>
      </c>
      <c r="E19" s="60">
        <f t="shared" si="11"/>
        <v>24.995041594956092</v>
      </c>
      <c r="F19" s="61">
        <f t="shared" si="8"/>
        <v>0.99990904936107194</v>
      </c>
      <c r="G19" s="60">
        <f t="shared" si="2"/>
        <v>1.0000166308485876</v>
      </c>
      <c r="H19" s="61">
        <f t="shared" si="9"/>
        <v>3166.4922202947837</v>
      </c>
      <c r="I19" s="60">
        <f t="shared" si="3"/>
        <v>316.64922202947838</v>
      </c>
      <c r="J19" s="61">
        <f t="shared" si="10"/>
        <v>2.3013312187506987</v>
      </c>
      <c r="K19" s="60">
        <f t="shared" si="4"/>
        <v>7.544607718266423E-3</v>
      </c>
      <c r="L19" s="61">
        <f t="shared" si="5"/>
        <v>1.2935504658366549E-3</v>
      </c>
      <c r="M19" s="60">
        <f t="shared" si="6"/>
        <v>3.5352632736412315E-3</v>
      </c>
      <c r="N19" s="5"/>
    </row>
    <row r="20" spans="1:14" x14ac:dyDescent="0.25">
      <c r="A20" s="4">
        <v>10</v>
      </c>
      <c r="B20" s="59">
        <f t="shared" si="0"/>
        <v>4</v>
      </c>
      <c r="C20" s="60">
        <f t="shared" si="1"/>
        <v>9.4176733000495005E-4</v>
      </c>
      <c r="D20" s="61">
        <f t="shared" si="7"/>
        <v>1013.1362284873192</v>
      </c>
      <c r="E20" s="60">
        <f t="shared" si="11"/>
        <v>24.993878512354968</v>
      </c>
      <c r="F20" s="61">
        <f t="shared" si="8"/>
        <v>0.99988771624704575</v>
      </c>
      <c r="G20" s="60">
        <f t="shared" si="2"/>
        <v>1.0000205319917201</v>
      </c>
      <c r="H20" s="61">
        <f t="shared" si="9"/>
        <v>3166.2724146874998</v>
      </c>
      <c r="I20" s="60">
        <f t="shared" si="3"/>
        <v>316.62724146875001</v>
      </c>
      <c r="J20" s="61">
        <f t="shared" si="10"/>
        <v>2.3011804463142083</v>
      </c>
      <c r="K20" s="60">
        <f t="shared" si="4"/>
        <v>7.5443738809480871E-3</v>
      </c>
      <c r="L20" s="61">
        <f t="shared" si="5"/>
        <v>1.2934454974261238E-3</v>
      </c>
      <c r="M20" s="60">
        <f t="shared" si="6"/>
        <v>3.5351277513496846E-3</v>
      </c>
      <c r="N20" s="5"/>
    </row>
    <row r="21" spans="1:14" x14ac:dyDescent="0.25">
      <c r="A21" s="4">
        <v>11</v>
      </c>
      <c r="B21" s="59">
        <f t="shared" si="0"/>
        <v>4.4000000000000004</v>
      </c>
      <c r="C21" s="60">
        <f t="shared" si="1"/>
        <v>1.13953845720971E-3</v>
      </c>
      <c r="D21" s="61">
        <f t="shared" si="7"/>
        <v>1013.1123378062716</v>
      </c>
      <c r="E21" s="60">
        <f t="shared" si="11"/>
        <v>24.992593000028137</v>
      </c>
      <c r="F21" s="61">
        <f t="shared" si="8"/>
        <v>0.99986413797806228</v>
      </c>
      <c r="G21" s="60">
        <f t="shared" si="2"/>
        <v>1.0000248438168373</v>
      </c>
      <c r="H21" s="61">
        <f t="shared" si="9"/>
        <v>3166.0294871883525</v>
      </c>
      <c r="I21" s="60">
        <f t="shared" si="3"/>
        <v>316.60294871883525</v>
      </c>
      <c r="J21" s="61">
        <f t="shared" si="10"/>
        <v>2.3010138130206945</v>
      </c>
      <c r="K21" s="60">
        <f t="shared" si="4"/>
        <v>7.5441154365595677E-3</v>
      </c>
      <c r="L21" s="61">
        <f t="shared" si="5"/>
        <v>1.2933294886144846E-3</v>
      </c>
      <c r="M21" s="60">
        <f t="shared" si="6"/>
        <v>3.5349779700696209E-3</v>
      </c>
      <c r="N21" s="5"/>
    </row>
    <row r="22" spans="1:14" x14ac:dyDescent="0.25">
      <c r="A22" s="4">
        <v>12</v>
      </c>
      <c r="B22" s="59">
        <f t="shared" si="0"/>
        <v>4.8000000000000007</v>
      </c>
      <c r="C22" s="60">
        <f t="shared" si="1"/>
        <v>1.3561449231929146E-3</v>
      </c>
      <c r="D22" s="61">
        <f t="shared" si="7"/>
        <v>1013.0861723548047</v>
      </c>
      <c r="E22" s="60">
        <f t="shared" si="11"/>
        <v>24.991185057999246</v>
      </c>
      <c r="F22" s="61">
        <f t="shared" si="8"/>
        <v>0.99983831468522544</v>
      </c>
      <c r="G22" s="60">
        <f t="shared" si="2"/>
        <v>1.0000295663344836</v>
      </c>
      <c r="H22" s="61">
        <f t="shared" si="9"/>
        <v>3165.7634424616535</v>
      </c>
      <c r="I22" s="60">
        <f t="shared" si="3"/>
        <v>316.57634424616538</v>
      </c>
      <c r="J22" s="61">
        <f t="shared" si="10"/>
        <v>2.3008313218494836</v>
      </c>
      <c r="K22" s="60">
        <f t="shared" si="4"/>
        <v>7.5438323873193826E-3</v>
      </c>
      <c r="L22" s="61">
        <f t="shared" si="5"/>
        <v>1.2932024420741007E-3</v>
      </c>
      <c r="M22" s="60">
        <f t="shared" si="6"/>
        <v>3.5348139317573934E-3</v>
      </c>
      <c r="N22" s="5"/>
    </row>
    <row r="23" spans="1:14" x14ac:dyDescent="0.25">
      <c r="A23" s="4">
        <v>13</v>
      </c>
      <c r="B23" s="59">
        <f t="shared" si="0"/>
        <v>5.2</v>
      </c>
      <c r="C23" s="60">
        <f t="shared" si="1"/>
        <v>1.5915867297735531E-3</v>
      </c>
      <c r="D23" s="61">
        <f t="shared" si="7"/>
        <v>1013.057732277706</v>
      </c>
      <c r="E23" s="60">
        <f t="shared" si="11"/>
        <v>24.989654686256472</v>
      </c>
      <c r="F23" s="61">
        <f t="shared" si="8"/>
        <v>0.99981024651142958</v>
      </c>
      <c r="G23" s="60">
        <f t="shared" si="2"/>
        <v>1.0000346995563352</v>
      </c>
      <c r="H23" s="61">
        <f t="shared" si="9"/>
        <v>3165.4742856082989</v>
      </c>
      <c r="I23" s="60">
        <f t="shared" si="3"/>
        <v>316.54742856082993</v>
      </c>
      <c r="J23" s="61">
        <f t="shared" si="10"/>
        <v>2.3006329760584645</v>
      </c>
      <c r="K23" s="60">
        <f t="shared" si="4"/>
        <v>7.5435247356496647E-3</v>
      </c>
      <c r="L23" s="61">
        <f t="shared" si="5"/>
        <v>1.2930643607280852E-3</v>
      </c>
      <c r="M23" s="60">
        <f t="shared" si="6"/>
        <v>3.5346356385511004E-3</v>
      </c>
      <c r="N23" s="5"/>
    </row>
    <row r="24" spans="1:14" x14ac:dyDescent="0.25">
      <c r="A24" s="4">
        <v>14</v>
      </c>
      <c r="B24" s="59">
        <f t="shared" si="0"/>
        <v>5.6000000000000005</v>
      </c>
      <c r="C24" s="60">
        <f t="shared" si="1"/>
        <v>1.8458638714946574E-3</v>
      </c>
      <c r="D24" s="61">
        <f t="shared" si="7"/>
        <v>1013.0270177332471</v>
      </c>
      <c r="E24" s="60">
        <f t="shared" si="11"/>
        <v>24.988001884835285</v>
      </c>
      <c r="F24" s="61">
        <f t="shared" si="8"/>
        <v>0.99977993361287654</v>
      </c>
      <c r="G24" s="60">
        <f t="shared" si="2"/>
        <v>1.0000402434949214</v>
      </c>
      <c r="H24" s="61">
        <f t="shared" si="9"/>
        <v>3165.1620221812718</v>
      </c>
      <c r="I24" s="60">
        <f t="shared" si="3"/>
        <v>316.51620221812721</v>
      </c>
      <c r="J24" s="61">
        <f t="shared" si="10"/>
        <v>2.3004187791947324</v>
      </c>
      <c r="K24" s="60">
        <f t="shared" si="4"/>
        <v>7.543192484192743E-3</v>
      </c>
      <c r="L24" s="61">
        <f t="shared" si="5"/>
        <v>1.292915247757662E-3</v>
      </c>
      <c r="M24" s="60">
        <f t="shared" si="6"/>
        <v>3.5344430927801624E-3</v>
      </c>
      <c r="N24" s="5"/>
    </row>
    <row r="25" spans="1:14" x14ac:dyDescent="0.25">
      <c r="A25" s="4">
        <v>15</v>
      </c>
      <c r="B25" s="59">
        <f t="shared" si="0"/>
        <v>6</v>
      </c>
      <c r="C25" s="60">
        <f t="shared" si="1"/>
        <v>2.1189763483562274E-3</v>
      </c>
      <c r="D25" s="61">
        <f t="shared" si="7"/>
        <v>1012.9940288916443</v>
      </c>
      <c r="E25" s="60">
        <f t="shared" si="11"/>
        <v>24.986226653735685</v>
      </c>
      <c r="F25" s="61">
        <f t="shared" si="8"/>
        <v>0.99974737615755671</v>
      </c>
      <c r="G25" s="60">
        <f t="shared" si="2"/>
        <v>1.0000461981639028</v>
      </c>
      <c r="H25" s="61">
        <f t="shared" si="9"/>
        <v>3164.8266581698485</v>
      </c>
      <c r="I25" s="60">
        <f t="shared" si="3"/>
        <v>316.48266581698482</v>
      </c>
      <c r="J25" s="61">
        <f t="shared" si="10"/>
        <v>2.3001887350837764</v>
      </c>
      <c r="K25" s="60">
        <f t="shared" si="4"/>
        <v>7.5428356357944903E-3</v>
      </c>
      <c r="L25" s="61">
        <f t="shared" si="5"/>
        <v>1.2927551065945978E-3</v>
      </c>
      <c r="M25" s="60">
        <f t="shared" si="6"/>
        <v>3.5342362969556355E-3</v>
      </c>
      <c r="N25" s="5"/>
    </row>
    <row r="26" spans="1:14" x14ac:dyDescent="0.25">
      <c r="A26" s="4">
        <v>16</v>
      </c>
      <c r="B26" s="59">
        <f t="shared" si="0"/>
        <v>6.4</v>
      </c>
      <c r="C26" s="60">
        <f t="shared" si="1"/>
        <v>2.4109241585392738E-3</v>
      </c>
      <c r="D26" s="61">
        <f t="shared" si="7"/>
        <v>1012.958765935936</v>
      </c>
      <c r="E26" s="60">
        <f t="shared" si="11"/>
        <v>24.984328992969495</v>
      </c>
      <c r="F26" s="61">
        <f t="shared" si="8"/>
        <v>0.99971257432611493</v>
      </c>
      <c r="G26" s="60">
        <f t="shared" si="2"/>
        <v>1.0000525635779127</v>
      </c>
      <c r="H26" s="61">
        <f t="shared" si="9"/>
        <v>3164.4682000083767</v>
      </c>
      <c r="I26" s="60">
        <f t="shared" si="3"/>
        <v>316.4468200008377</v>
      </c>
      <c r="J26" s="61">
        <f t="shared" si="10"/>
        <v>2.2999428478355139</v>
      </c>
      <c r="K26" s="60">
        <f t="shared" si="4"/>
        <v>7.5424541935137888E-3</v>
      </c>
      <c r="L26" s="61">
        <f t="shared" si="5"/>
        <v>1.2925839409253521E-3</v>
      </c>
      <c r="M26" s="60">
        <f t="shared" si="6"/>
        <v>3.5340152537756565E-3</v>
      </c>
      <c r="N26" s="5"/>
    </row>
    <row r="27" spans="1:14" x14ac:dyDescent="0.25">
      <c r="A27" s="4">
        <v>17</v>
      </c>
      <c r="B27" s="59">
        <f t="shared" si="0"/>
        <v>6.8000000000000007</v>
      </c>
      <c r="C27" s="60">
        <f t="shared" si="1"/>
        <v>2.7217073020437965E-3</v>
      </c>
      <c r="D27" s="61">
        <f t="shared" si="7"/>
        <v>1012.9212290615422</v>
      </c>
      <c r="E27" s="60">
        <f t="shared" si="11"/>
        <v>24.982308902536715</v>
      </c>
      <c r="F27" s="61">
        <f t="shared" si="8"/>
        <v>0.99967552831141604</v>
      </c>
      <c r="G27" s="60">
        <f t="shared" si="2"/>
        <v>1.0000593397526367</v>
      </c>
      <c r="H27" s="61">
        <f t="shared" si="9"/>
        <v>3164.0866545716326</v>
      </c>
      <c r="I27" s="60">
        <f t="shared" si="3"/>
        <v>316.40866545716324</v>
      </c>
      <c r="J27" s="61">
        <f t="shared" si="10"/>
        <v>2.2996811218411231</v>
      </c>
      <c r="K27" s="60">
        <f t="shared" si="4"/>
        <v>7.5420481606177448E-3</v>
      </c>
      <c r="L27" s="61">
        <f t="shared" si="5"/>
        <v>1.2924017546888187E-3</v>
      </c>
      <c r="M27" s="60">
        <f t="shared" si="6"/>
        <v>3.5337799661226258E-3</v>
      </c>
      <c r="N27" s="5"/>
    </row>
    <row r="28" spans="1:14" x14ac:dyDescent="0.25">
      <c r="A28" s="4">
        <v>18</v>
      </c>
      <c r="B28" s="59">
        <f t="shared" si="0"/>
        <v>7.2</v>
      </c>
      <c r="C28" s="60">
        <f t="shared" si="1"/>
        <v>3.0513257734128274E-3</v>
      </c>
      <c r="D28" s="61">
        <f t="shared" si="7"/>
        <v>1012.8814184771422</v>
      </c>
      <c r="E28" s="60">
        <f t="shared" si="11"/>
        <v>24.980166382472817</v>
      </c>
      <c r="F28" s="61">
        <f t="shared" si="8"/>
        <v>0.99963623831941006</v>
      </c>
      <c r="G28" s="60">
        <f t="shared" si="2"/>
        <v>1.0000665267046533</v>
      </c>
      <c r="H28" s="61">
        <f t="shared" si="9"/>
        <v>3163.6820291835656</v>
      </c>
      <c r="I28" s="60">
        <f t="shared" si="3"/>
        <v>316.36820291835653</v>
      </c>
      <c r="J28" s="61">
        <f t="shared" si="10"/>
        <v>2.2994035617790662</v>
      </c>
      <c r="K28" s="60">
        <f t="shared" si="4"/>
        <v>7.541617540591153E-3</v>
      </c>
      <c r="L28" s="61">
        <f t="shared" si="5"/>
        <v>1.2922085520804584E-3</v>
      </c>
      <c r="M28" s="60">
        <f t="shared" si="6"/>
        <v>3.5335304370686447E-3</v>
      </c>
      <c r="N28" s="5"/>
    </row>
    <row r="29" spans="1:14" x14ac:dyDescent="0.25">
      <c r="A29" s="4">
        <v>19</v>
      </c>
      <c r="B29" s="59">
        <f t="shared" si="0"/>
        <v>7.6000000000000005</v>
      </c>
      <c r="C29" s="60">
        <f t="shared" si="1"/>
        <v>3.3997795744653558E-3</v>
      </c>
      <c r="D29" s="61">
        <f t="shared" si="7"/>
        <v>1012.8393344031347</v>
      </c>
      <c r="E29" s="60">
        <f t="shared" si="11"/>
        <v>24.977901432765975</v>
      </c>
      <c r="F29" s="61">
        <f t="shared" si="8"/>
        <v>0.99959470456761379</v>
      </c>
      <c r="G29" s="60">
        <f t="shared" si="2"/>
        <v>1.0000741244517128</v>
      </c>
      <c r="H29" s="61">
        <f t="shared" si="9"/>
        <v>3163.2543316014703</v>
      </c>
      <c r="I29" s="60">
        <f t="shared" si="3"/>
        <v>316.32543316014704</v>
      </c>
      <c r="J29" s="61">
        <f t="shared" si="10"/>
        <v>2.299110172604248</v>
      </c>
      <c r="K29" s="60">
        <f t="shared" si="4"/>
        <v>7.5411623371198109E-3</v>
      </c>
      <c r="L29" s="61">
        <f t="shared" si="5"/>
        <v>1.2920043375446966E-3</v>
      </c>
      <c r="M29" s="60">
        <f t="shared" si="6"/>
        <v>3.5332666698658036E-3</v>
      </c>
      <c r="N29" s="5"/>
    </row>
    <row r="30" spans="1:14" x14ac:dyDescent="0.25">
      <c r="A30" s="4">
        <v>20</v>
      </c>
      <c r="B30" s="59">
        <f t="shared" si="0"/>
        <v>8</v>
      </c>
      <c r="C30" s="60">
        <f t="shared" si="1"/>
        <v>3.7670686979254242E-3</v>
      </c>
      <c r="D30" s="61">
        <f t="shared" si="7"/>
        <v>1012.7949770736135</v>
      </c>
      <c r="E30" s="60">
        <f t="shared" si="11"/>
        <v>24.975514053463485</v>
      </c>
      <c r="F30" s="61">
        <f t="shared" si="8"/>
        <v>0.99955092728705996</v>
      </c>
      <c r="G30" s="60">
        <f t="shared" si="2"/>
        <v>1.0000821330123799</v>
      </c>
      <c r="H30" s="61">
        <f t="shared" si="9"/>
        <v>3162.8035700358728</v>
      </c>
      <c r="I30" s="60">
        <f t="shared" si="3"/>
        <v>316.28035700358726</v>
      </c>
      <c r="J30" s="61">
        <f t="shared" si="10"/>
        <v>2.2988009595616781</v>
      </c>
      <c r="K30" s="60">
        <f t="shared" si="4"/>
        <v>7.5406825541118865E-3</v>
      </c>
      <c r="L30" s="61">
        <f t="shared" si="5"/>
        <v>1.291789115784366E-3</v>
      </c>
      <c r="M30" s="60">
        <f t="shared" si="6"/>
        <v>3.5329886679585014E-3</v>
      </c>
      <c r="N30" s="5"/>
    </row>
    <row r="31" spans="1:14" x14ac:dyDescent="0.25">
      <c r="A31" s="4">
        <v>21</v>
      </c>
      <c r="B31" s="59">
        <f t="shared" si="0"/>
        <v>8.4</v>
      </c>
      <c r="C31" s="60">
        <f t="shared" si="1"/>
        <v>4.1531931456120219E-3</v>
      </c>
      <c r="D31" s="61">
        <f t="shared" si="7"/>
        <v>1012.7483467341698</v>
      </c>
      <c r="E31" s="60">
        <f t="shared" si="11"/>
        <v>24.973004244553522</v>
      </c>
      <c r="F31" s="61">
        <f t="shared" si="8"/>
        <v>0.99950490672012804</v>
      </c>
      <c r="G31" s="60">
        <f t="shared" si="2"/>
        <v>1.0000905524064301</v>
      </c>
      <c r="H31" s="61">
        <f t="shared" si="9"/>
        <v>3162.3297531279759</v>
      </c>
      <c r="I31" s="60">
        <f t="shared" si="3"/>
        <v>316.23297531279758</v>
      </c>
      <c r="J31" s="61">
        <f t="shared" si="10"/>
        <v>2.2984759281710287</v>
      </c>
      <c r="K31" s="60">
        <f t="shared" si="4"/>
        <v>7.5401781956740748E-3</v>
      </c>
      <c r="L31" s="61">
        <f t="shared" si="5"/>
        <v>1.2915628917498894E-3</v>
      </c>
      <c r="M31" s="60">
        <f t="shared" si="6"/>
        <v>3.5326964349695861E-3</v>
      </c>
      <c r="N31" s="5"/>
    </row>
    <row r="32" spans="1:14" x14ac:dyDescent="0.25">
      <c r="A32" s="4">
        <v>22</v>
      </c>
      <c r="B32" s="59">
        <f t="shared" si="0"/>
        <v>8.8000000000000007</v>
      </c>
      <c r="C32" s="60">
        <f t="shared" si="1"/>
        <v>4.5581529120681807E-3</v>
      </c>
      <c r="D32" s="61">
        <f t="shared" si="7"/>
        <v>1012.6994436438664</v>
      </c>
      <c r="E32" s="60">
        <f t="shared" si="11"/>
        <v>24.970372006071557</v>
      </c>
      <c r="F32" s="61">
        <f t="shared" si="8"/>
        <v>0.99945664312249338</v>
      </c>
      <c r="G32" s="60">
        <f t="shared" si="2"/>
        <v>1.0000993826544931</v>
      </c>
      <c r="H32" s="61">
        <f t="shared" si="9"/>
        <v>3161.8328899695257</v>
      </c>
      <c r="I32" s="60">
        <f t="shared" si="3"/>
        <v>316.18328899695257</v>
      </c>
      <c r="J32" s="61">
        <f t="shared" si="10"/>
        <v>2.2981350842402799</v>
      </c>
      <c r="K32" s="60">
        <f t="shared" si="4"/>
        <v>7.5396492661329584E-3</v>
      </c>
      <c r="L32" s="61">
        <f t="shared" si="5"/>
        <v>1.2913256706487057E-3</v>
      </c>
      <c r="M32" s="60">
        <f t="shared" si="6"/>
        <v>3.532389974712666E-3</v>
      </c>
      <c r="N32" s="5"/>
    </row>
    <row r="33" spans="1:14" x14ac:dyDescent="0.25">
      <c r="A33" s="4">
        <v>23</v>
      </c>
      <c r="B33" s="59">
        <f t="shared" si="0"/>
        <v>9.2000000000000011</v>
      </c>
      <c r="C33" s="60">
        <f t="shared" si="1"/>
        <v>4.9819479972939007E-3</v>
      </c>
      <c r="D33" s="61">
        <f t="shared" si="7"/>
        <v>1012.6482680736993</v>
      </c>
      <c r="E33" s="60">
        <f t="shared" si="11"/>
        <v>24.96761733801759</v>
      </c>
      <c r="F33" s="61">
        <f t="shared" si="8"/>
        <v>0.99940613676160805</v>
      </c>
      <c r="G33" s="60">
        <f t="shared" si="2"/>
        <v>1.0001086237783314</v>
      </c>
      <c r="H33" s="61">
        <f t="shared" si="9"/>
        <v>3161.3129900869321</v>
      </c>
      <c r="I33" s="60">
        <f t="shared" si="3"/>
        <v>316.13129900869319</v>
      </c>
      <c r="J33" s="61">
        <f t="shared" si="10"/>
        <v>2.2977784338548557</v>
      </c>
      <c r="K33" s="60">
        <f t="shared" si="4"/>
        <v>7.5390957700183321E-3</v>
      </c>
      <c r="L33" s="61">
        <f t="shared" si="5"/>
        <v>1.2910774579376351E-3</v>
      </c>
      <c r="M33" s="60">
        <f t="shared" si="6"/>
        <v>3.5320692911823869E-3</v>
      </c>
      <c r="N33" s="5"/>
    </row>
    <row r="34" spans="1:14" x14ac:dyDescent="0.25">
      <c r="A34" s="4">
        <v>24</v>
      </c>
      <c r="B34" s="59">
        <f t="shared" si="0"/>
        <v>9.6000000000000014</v>
      </c>
      <c r="C34" s="60">
        <f t="shared" si="1"/>
        <v>5.4245783958322136E-3</v>
      </c>
      <c r="D34" s="61">
        <f t="shared" si="7"/>
        <v>1012.5948203079131</v>
      </c>
      <c r="E34" s="60">
        <f t="shared" si="11"/>
        <v>24.964740240427091</v>
      </c>
      <c r="F34" s="61">
        <f t="shared" si="8"/>
        <v>0.99935338791799955</v>
      </c>
      <c r="G34" s="60">
        <f t="shared" si="2"/>
        <v>1.0001182758006011</v>
      </c>
      <c r="H34" s="61">
        <f t="shared" si="9"/>
        <v>3160.7700634544071</v>
      </c>
      <c r="I34" s="60">
        <f t="shared" si="3"/>
        <v>316.07700634544074</v>
      </c>
      <c r="J34" s="61">
        <f t="shared" si="10"/>
        <v>2.2974059833866649</v>
      </c>
      <c r="K34" s="60">
        <f t="shared" si="4"/>
        <v>7.5385177120773682E-3</v>
      </c>
      <c r="L34" s="61">
        <f t="shared" si="5"/>
        <v>1.2908182593290899E-3</v>
      </c>
      <c r="M34" s="60">
        <f t="shared" si="6"/>
        <v>3.5317343885625831E-3</v>
      </c>
      <c r="N34" s="5"/>
    </row>
    <row r="35" spans="1:14" x14ac:dyDescent="0.25">
      <c r="A35" s="4">
        <v>25</v>
      </c>
      <c r="B35" s="59">
        <f t="shared" si="0"/>
        <v>10</v>
      </c>
      <c r="C35" s="60">
        <f t="shared" si="1"/>
        <v>5.8860441076831194E-3</v>
      </c>
      <c r="D35" s="61">
        <f t="shared" si="7"/>
        <v>1012.5391006426808</v>
      </c>
      <c r="E35" s="60">
        <f t="shared" si="11"/>
        <v>24.96174071330006</v>
      </c>
      <c r="F35" s="61">
        <f t="shared" si="8"/>
        <v>0.99929839688396815</v>
      </c>
      <c r="G35" s="60">
        <f t="shared" si="2"/>
        <v>1.0001283387450908</v>
      </c>
      <c r="H35" s="61">
        <f t="shared" si="9"/>
        <v>3160.2041204803008</v>
      </c>
      <c r="I35" s="60">
        <f t="shared" si="3"/>
        <v>316.0204120480301</v>
      </c>
      <c r="J35" s="61">
        <f t="shared" si="10"/>
        <v>2.2970177394847529</v>
      </c>
      <c r="K35" s="60">
        <f t="shared" si="4"/>
        <v>7.5379150972603344E-3</v>
      </c>
      <c r="L35" s="61">
        <f t="shared" si="5"/>
        <v>1.2905480807844866E-3</v>
      </c>
      <c r="M35" s="60">
        <f t="shared" si="6"/>
        <v>3.5313852712179281E-3</v>
      </c>
      <c r="N35" s="5"/>
    </row>
    <row r="36" spans="1:14" x14ac:dyDescent="0.25">
      <c r="A36" s="4">
        <v>26</v>
      </c>
      <c r="B36" s="59">
        <f t="shared" si="0"/>
        <v>10.4</v>
      </c>
      <c r="C36" s="60">
        <f t="shared" si="1"/>
        <v>6.3663451255706605E-3</v>
      </c>
      <c r="D36" s="61">
        <f t="shared" si="7"/>
        <v>1012.48110938764</v>
      </c>
      <c r="E36" s="60">
        <f t="shared" si="11"/>
        <v>24.958618756683791</v>
      </c>
      <c r="F36" s="61">
        <f t="shared" si="8"/>
        <v>0.99924116396510243</v>
      </c>
      <c r="G36" s="60">
        <f t="shared" si="2"/>
        <v>1.0001388126364437</v>
      </c>
      <c r="H36" s="61">
        <f t="shared" si="9"/>
        <v>3159.6151720224411</v>
      </c>
      <c r="I36" s="60">
        <f t="shared" si="3"/>
        <v>315.96151720224412</v>
      </c>
      <c r="J36" s="61">
        <f t="shared" si="10"/>
        <v>2.2966137090858543</v>
      </c>
      <c r="K36" s="60">
        <f t="shared" si="4"/>
        <v>7.5372879307371516E-3</v>
      </c>
      <c r="L36" s="61">
        <f t="shared" si="5"/>
        <v>1.2902669285215036E-3</v>
      </c>
      <c r="M36" s="60">
        <f t="shared" si="6"/>
        <v>3.5310219437034622E-3</v>
      </c>
      <c r="N36" s="5"/>
    </row>
    <row r="37" spans="1:14" x14ac:dyDescent="0.25">
      <c r="A37" s="4">
        <v>27</v>
      </c>
      <c r="B37" s="59">
        <f t="shared" si="0"/>
        <v>10.8</v>
      </c>
      <c r="C37" s="60">
        <f t="shared" si="1"/>
        <v>6.8654814513138263E-3</v>
      </c>
      <c r="D37" s="61">
        <f t="shared" si="7"/>
        <v>1012.4208468639138</v>
      </c>
      <c r="E37" s="60">
        <f t="shared" si="11"/>
        <v>24.95537437056646</v>
      </c>
      <c r="F37" s="61">
        <f t="shared" si="8"/>
        <v>0.99918168947832597</v>
      </c>
      <c r="G37" s="60">
        <f t="shared" si="2"/>
        <v>1.0001496975005155</v>
      </c>
      <c r="H37" s="61">
        <f t="shared" si="9"/>
        <v>3159.0032293677618</v>
      </c>
      <c r="I37" s="60">
        <f t="shared" si="3"/>
        <v>315.90032293677615</v>
      </c>
      <c r="J37" s="61">
        <f t="shared" si="10"/>
        <v>2.2961938994004512</v>
      </c>
      <c r="K37" s="60">
        <f t="shared" si="4"/>
        <v>7.5366362178759701E-3</v>
      </c>
      <c r="L37" s="61">
        <f t="shared" si="5"/>
        <v>1.2899748090042893E-3</v>
      </c>
      <c r="M37" s="60">
        <f t="shared" si="6"/>
        <v>3.5306444107521041E-3</v>
      </c>
      <c r="N37" s="5"/>
    </row>
    <row r="38" spans="1:14" x14ac:dyDescent="0.25">
      <c r="A38" s="4">
        <v>28</v>
      </c>
      <c r="B38" s="59">
        <f t="shared" si="0"/>
        <v>11.200000000000001</v>
      </c>
      <c r="C38" s="60">
        <f t="shared" si="1"/>
        <v>7.3834530776366591E-3</v>
      </c>
      <c r="D38" s="61">
        <f t="shared" si="7"/>
        <v>1012.3583134063041</v>
      </c>
      <c r="E38" s="60">
        <f t="shared" si="11"/>
        <v>24.952007554995362</v>
      </c>
      <c r="F38" s="61">
        <f t="shared" si="8"/>
        <v>0.99911997375406281</v>
      </c>
      <c r="G38" s="60">
        <f t="shared" si="2"/>
        <v>1.0001609933639772</v>
      </c>
      <c r="H38" s="61">
        <f t="shared" si="9"/>
        <v>3158.368304254298</v>
      </c>
      <c r="I38" s="60">
        <f t="shared" si="3"/>
        <v>315.83683042542981</v>
      </c>
      <c r="J38" s="61">
        <f t="shared" si="10"/>
        <v>2.2957583179278931</v>
      </c>
      <c r="K38" s="60">
        <f t="shared" si="4"/>
        <v>7.5359599642668331E-3</v>
      </c>
      <c r="L38" s="61">
        <f t="shared" si="5"/>
        <v>1.2896717289538895E-3</v>
      </c>
      <c r="M38" s="60">
        <f t="shared" si="6"/>
        <v>3.530252677288289E-3</v>
      </c>
      <c r="N38" s="5"/>
    </row>
    <row r="39" spans="1:14" x14ac:dyDescent="0.25">
      <c r="A39" s="4">
        <v>29</v>
      </c>
      <c r="B39" s="59">
        <f t="shared" si="0"/>
        <v>11.600000000000001</v>
      </c>
      <c r="C39" s="60">
        <f t="shared" si="1"/>
        <v>7.9202600027201697E-3</v>
      </c>
      <c r="D39" s="61">
        <f t="shared" si="7"/>
        <v>1012.2935093615334</v>
      </c>
      <c r="E39" s="60">
        <f t="shared" si="11"/>
        <v>24.948518309982319</v>
      </c>
      <c r="F39" s="61">
        <f t="shared" si="8"/>
        <v>0.99905601713450132</v>
      </c>
      <c r="G39" s="60">
        <f t="shared" si="2"/>
        <v>1.0001727002546323</v>
      </c>
      <c r="H39" s="61">
        <f t="shared" si="9"/>
        <v>3157.7104088530291</v>
      </c>
      <c r="I39" s="60">
        <f t="shared" si="3"/>
        <v>315.77104088530291</v>
      </c>
      <c r="J39" s="61">
        <f t="shared" si="10"/>
        <v>2.2953069724439707</v>
      </c>
      <c r="K39" s="60">
        <f t="shared" si="4"/>
        <v>7.5352591757026199E-3</v>
      </c>
      <c r="L39" s="61">
        <f t="shared" si="5"/>
        <v>1.2893576953395037E-3</v>
      </c>
      <c r="M39" s="60">
        <f t="shared" si="6"/>
        <v>3.5298467484168499E-3</v>
      </c>
      <c r="N39" s="5"/>
    </row>
    <row r="40" spans="1:14" x14ac:dyDescent="0.25">
      <c r="A40" s="4">
        <v>30</v>
      </c>
      <c r="B40" s="59">
        <f t="shared" si="0"/>
        <v>12</v>
      </c>
      <c r="C40" s="60">
        <f t="shared" si="1"/>
        <v>8.4759022229263792E-3</v>
      </c>
      <c r="D40" s="61">
        <f t="shared" si="7"/>
        <v>1012.2264350891198</v>
      </c>
      <c r="E40" s="60">
        <f t="shared" si="11"/>
        <v>24.944906635550979</v>
      </c>
      <c r="F40" s="61">
        <f t="shared" si="8"/>
        <v>0.99898981997445824</v>
      </c>
      <c r="G40" s="60">
        <f t="shared" si="2"/>
        <v>1.0001848182012596</v>
      </c>
      <c r="H40" s="61">
        <f t="shared" si="9"/>
        <v>3157.0295557764689</v>
      </c>
      <c r="I40" s="60">
        <f t="shared" si="3"/>
        <v>315.70295557764689</v>
      </c>
      <c r="J40" s="61">
        <f t="shared" si="10"/>
        <v>2.2948398710068472</v>
      </c>
      <c r="K40" s="60">
        <f t="shared" si="4"/>
        <v>7.5345338581884877E-3</v>
      </c>
      <c r="L40" s="61">
        <f t="shared" si="5"/>
        <v>1.2890327153825107E-3</v>
      </c>
      <c r="M40" s="60">
        <f t="shared" si="6"/>
        <v>3.5294266294283992E-3</v>
      </c>
      <c r="N40" s="5"/>
    </row>
    <row r="41" spans="1:14" x14ac:dyDescent="0.25">
      <c r="A41" s="4">
        <v>31</v>
      </c>
      <c r="B41" s="59">
        <f t="shared" si="0"/>
        <v>12.4</v>
      </c>
      <c r="C41" s="60">
        <f t="shared" si="1"/>
        <v>9.0503797346173087E-3</v>
      </c>
      <c r="D41" s="61">
        <f t="shared" si="7"/>
        <v>1012.1570909611554</v>
      </c>
      <c r="E41" s="60">
        <f t="shared" si="11"/>
        <v>24.941172531724987</v>
      </c>
      <c r="F41" s="61">
        <f t="shared" si="8"/>
        <v>0.99892138264116004</v>
      </c>
      <c r="G41" s="60">
        <f t="shared" si="2"/>
        <v>1.0001973472336514</v>
      </c>
      <c r="H41" s="61">
        <f t="shared" si="9"/>
        <v>3156.325758076096</v>
      </c>
      <c r="I41" s="60">
        <f t="shared" si="3"/>
        <v>315.63257580760961</v>
      </c>
      <c r="J41" s="61">
        <f t="shared" si="10"/>
        <v>2.2943570219553298</v>
      </c>
      <c r="K41" s="60">
        <f t="shared" si="4"/>
        <v>7.5337840179393999E-3</v>
      </c>
      <c r="L41" s="61">
        <f t="shared" si="5"/>
        <v>1.2886967965551627E-3</v>
      </c>
      <c r="M41" s="60">
        <f t="shared" si="6"/>
        <v>3.5289923257978252E-3</v>
      </c>
      <c r="N41" s="5"/>
    </row>
    <row r="42" spans="1:14" x14ac:dyDescent="0.25">
      <c r="A42" s="4">
        <v>32</v>
      </c>
      <c r="B42" s="59">
        <f t="shared" ref="B42:B73" si="12">$C$6/100*$A42</f>
        <v>12.8</v>
      </c>
      <c r="C42" s="60">
        <f t="shared" ref="C42:C73" si="13">($B42^2+(4/3*6371)^2+2*$B42*4/3*6371*SIN($C$5*PI()/180))^0.5-4/3*6371</f>
        <v>9.6436925323359901E-3</v>
      </c>
      <c r="D42" s="61">
        <f t="shared" si="7"/>
        <v>1012.0854773625231</v>
      </c>
      <c r="E42" s="60">
        <f t="shared" si="11"/>
        <v>24.937315998539816</v>
      </c>
      <c r="F42" s="61">
        <f t="shared" si="8"/>
        <v>0.99885070551445654</v>
      </c>
      <c r="G42" s="60">
        <f t="shared" ref="G42:G73" si="14">($C$4+273.15)/(273.15+$E42)</f>
        <v>1.0002102873825751</v>
      </c>
      <c r="H42" s="61">
        <f t="shared" si="9"/>
        <v>3155.599029244222</v>
      </c>
      <c r="I42" s="60">
        <f t="shared" ref="I42:I73" si="15">$C$3*$H42/100</f>
        <v>315.5599029244222</v>
      </c>
      <c r="J42" s="61">
        <f t="shared" si="10"/>
        <v>2.293858433910188</v>
      </c>
      <c r="K42" s="60">
        <f t="shared" ref="K42:K73" si="16">IF($C$2&lt;=57,(7.27*$G42/($C$2^2+0.351*$F42^2*$G42^2)+7.5/(($C$2-57)^2+2.44*$F42^2*$G42^2))*$C$2^2*$F42^2*$G42^2*0.001,IF(AND($C$2&gt;=63,$C$2&lt;=350),(2*10^-4*$G42^1.5*(1-1.2*10^-5*$C$2^1.5)+(4/(($C$2-63)^2+1.5*$F42^2*$G42^2))+(0.28*$G42^2/(($C$2-118.75)^2+2.84*$F42^2*$G42^2)))*$C$2^2*$F42^2*$G42^2*0.001,IF(AND($C$2&gt;=57,$C$2&lt;63),(($C$2-57)*($C$2-60)/18)*11-1.66*$F42^2*$G42^8.5*($C$2-57)*($C$2-63)+(($C$2-60)*($C$2-63)/18)*11,"OUT OF RANGE")))</f>
        <v>7.5330096613824464E-3</v>
      </c>
      <c r="L42" s="61">
        <f t="shared" ref="L42:L73" si="17">IF($C$2&lt;=350,(3.27*10^-2*$G42+1.67*10^-3*$J42*$G42^7/$F42+7.7*10^-4*$C$2^0.5+(3.79/(($C$2-22.235)^2+9.18*$F42^2*$G42))+(11.73*$G42/(($C$2-183.31)^2+11.85*$F42^2*$G42))+(4.01*$G42/(($C$2-325.153)^2+10.44*$F42^2*$G42)))*$C$2^2*$J42*$F42*$G42*10^-4,"OUT OF RANGE")</f>
        <v>1.2883499465813921E-3</v>
      </c>
      <c r="M42" s="60">
        <f t="shared" ref="M42:M73" si="18">($K42+$L42)*($C$6/100)</f>
        <v>3.5285438431855356E-3</v>
      </c>
      <c r="N42" s="5"/>
    </row>
    <row r="43" spans="1:14" x14ac:dyDescent="0.25">
      <c r="A43" s="4">
        <v>33</v>
      </c>
      <c r="B43" s="59">
        <f t="shared" si="12"/>
        <v>13.200000000000001</v>
      </c>
      <c r="C43" s="60">
        <f t="shared" si="13"/>
        <v>1.0255840614263434E-2</v>
      </c>
      <c r="D43" s="61">
        <f t="shared" si="7"/>
        <v>1012.0115946902353</v>
      </c>
      <c r="E43" s="60">
        <f t="shared" si="11"/>
        <v>24.933337036007288</v>
      </c>
      <c r="F43" s="61">
        <f t="shared" si="8"/>
        <v>0.99877778898616854</v>
      </c>
      <c r="G43" s="60">
        <f t="shared" si="14"/>
        <v>1.0002236386798926</v>
      </c>
      <c r="H43" s="61">
        <f t="shared" si="9"/>
        <v>3154.849383206948</v>
      </c>
      <c r="I43" s="60">
        <f t="shared" si="15"/>
        <v>315.48493832069477</v>
      </c>
      <c r="J43" s="61">
        <f t="shared" si="10"/>
        <v>2.2933441157693593</v>
      </c>
      <c r="K43" s="60">
        <f t="shared" si="16"/>
        <v>7.5322107951496537E-3</v>
      </c>
      <c r="L43" s="61">
        <f t="shared" si="17"/>
        <v>1.2879921734333677E-3</v>
      </c>
      <c r="M43" s="60">
        <f t="shared" si="18"/>
        <v>3.5280811874332089E-3</v>
      </c>
      <c r="N43" s="5"/>
    </row>
    <row r="44" spans="1:14" x14ac:dyDescent="0.25">
      <c r="A44" s="4">
        <v>34</v>
      </c>
      <c r="B44" s="59">
        <f t="shared" si="12"/>
        <v>13.600000000000001</v>
      </c>
      <c r="C44" s="60">
        <f t="shared" si="13"/>
        <v>1.0886823974942672E-2</v>
      </c>
      <c r="D44" s="61">
        <f t="shared" si="7"/>
        <v>1011.9354433543092</v>
      </c>
      <c r="E44" s="60">
        <f t="shared" si="11"/>
        <v>24.929235644162873</v>
      </c>
      <c r="F44" s="61">
        <f t="shared" si="8"/>
        <v>0.99870263346095156</v>
      </c>
      <c r="G44" s="60">
        <f t="shared" si="14"/>
        <v>1.0002374011584008</v>
      </c>
      <c r="H44" s="61">
        <f t="shared" si="9"/>
        <v>3154.0768343326959</v>
      </c>
      <c r="I44" s="60">
        <f t="shared" si="15"/>
        <v>315.4076834332696</v>
      </c>
      <c r="J44" s="61">
        <f t="shared" si="10"/>
        <v>2.2928140767138427</v>
      </c>
      <c r="K44" s="60">
        <f t="shared" si="16"/>
        <v>7.5313874260873621E-3</v>
      </c>
      <c r="L44" s="61">
        <f t="shared" si="17"/>
        <v>1.2876234853354755E-3</v>
      </c>
      <c r="M44" s="60">
        <f t="shared" si="18"/>
        <v>3.527604364569135E-3</v>
      </c>
      <c r="N44" s="5"/>
    </row>
    <row r="45" spans="1:14" x14ac:dyDescent="0.25">
      <c r="A45" s="4">
        <v>35</v>
      </c>
      <c r="B45" s="59">
        <f t="shared" si="12"/>
        <v>14</v>
      </c>
      <c r="C45" s="60">
        <f t="shared" si="13"/>
        <v>1.1536642612554715E-2</v>
      </c>
      <c r="D45" s="61">
        <f t="shared" si="7"/>
        <v>1011.8570237768856</v>
      </c>
      <c r="E45" s="60">
        <f t="shared" si="11"/>
        <v>24.925011823018394</v>
      </c>
      <c r="F45" s="61">
        <f t="shared" si="8"/>
        <v>0.99862523935542624</v>
      </c>
      <c r="G45" s="60">
        <f t="shared" si="14"/>
        <v>1.0002515748519911</v>
      </c>
      <c r="H45" s="61">
        <f t="shared" si="9"/>
        <v>3153.2813974229084</v>
      </c>
      <c r="I45" s="60">
        <f t="shared" si="15"/>
        <v>315.32813974229083</v>
      </c>
      <c r="J45" s="61">
        <f t="shared" si="10"/>
        <v>2.2922683262013561</v>
      </c>
      <c r="K45" s="60">
        <f t="shared" si="16"/>
        <v>7.5305395612466856E-3</v>
      </c>
      <c r="L45" s="61">
        <f t="shared" si="17"/>
        <v>1.2872438907597903E-3</v>
      </c>
      <c r="M45" s="60">
        <f t="shared" si="18"/>
        <v>3.527113380802591E-3</v>
      </c>
      <c r="N45" s="5"/>
    </row>
    <row r="46" spans="1:14" x14ac:dyDescent="0.25">
      <c r="A46" s="4">
        <v>36</v>
      </c>
      <c r="B46" s="59">
        <f t="shared" si="12"/>
        <v>14.4</v>
      </c>
      <c r="C46" s="60">
        <f t="shared" si="13"/>
        <v>1.2205296521642595E-2</v>
      </c>
      <c r="D46" s="61">
        <f t="shared" si="7"/>
        <v>1011.7763363931045</v>
      </c>
      <c r="E46" s="60">
        <f t="shared" si="11"/>
        <v>24.920665572609323</v>
      </c>
      <c r="F46" s="61">
        <f t="shared" si="8"/>
        <v>0.99854560709904228</v>
      </c>
      <c r="G46" s="60">
        <f t="shared" si="14"/>
        <v>1.0002661597954909</v>
      </c>
      <c r="H46" s="61">
        <f t="shared" si="9"/>
        <v>3152.4630877205609</v>
      </c>
      <c r="I46" s="60">
        <f t="shared" si="15"/>
        <v>315.24630877205607</v>
      </c>
      <c r="J46" s="61">
        <f t="shared" si="10"/>
        <v>2.2917068739722195</v>
      </c>
      <c r="K46" s="60">
        <f t="shared" si="16"/>
        <v>7.5296672078929063E-3</v>
      </c>
      <c r="L46" s="61">
        <f t="shared" si="17"/>
        <v>1.2868533984300454E-3</v>
      </c>
      <c r="M46" s="60">
        <f t="shared" si="18"/>
        <v>3.5266082425291809E-3</v>
      </c>
      <c r="N46" s="5"/>
    </row>
    <row r="47" spans="1:14" x14ac:dyDescent="0.25">
      <c r="A47" s="4">
        <v>37</v>
      </c>
      <c r="B47" s="59">
        <f t="shared" si="12"/>
        <v>14.8</v>
      </c>
      <c r="C47" s="60">
        <f t="shared" si="13"/>
        <v>1.2892785694930353E-2</v>
      </c>
      <c r="D47" s="61">
        <f t="shared" si="7"/>
        <v>1011.6933816508823</v>
      </c>
      <c r="E47" s="60">
        <f t="shared" si="11"/>
        <v>24.916196892982953</v>
      </c>
      <c r="F47" s="61">
        <f t="shared" si="8"/>
        <v>0.99846373713385872</v>
      </c>
      <c r="G47" s="60">
        <f t="shared" si="14"/>
        <v>1.000281156024704</v>
      </c>
      <c r="H47" s="61">
        <f t="shared" si="9"/>
        <v>3151.6219209075139</v>
      </c>
      <c r="I47" s="60">
        <f t="shared" si="15"/>
        <v>315.16219209075138</v>
      </c>
      <c r="J47" s="61">
        <f t="shared" si="10"/>
        <v>2.2911297300475839</v>
      </c>
      <c r="K47" s="60">
        <f t="shared" si="16"/>
        <v>7.5287703735030242E-3</v>
      </c>
      <c r="L47" s="61">
        <f t="shared" si="17"/>
        <v>1.2864520173202726E-3</v>
      </c>
      <c r="M47" s="60">
        <f t="shared" si="18"/>
        <v>3.5260889563293188E-3</v>
      </c>
      <c r="N47" s="5"/>
    </row>
    <row r="48" spans="1:14" x14ac:dyDescent="0.25">
      <c r="A48" s="4">
        <v>38</v>
      </c>
      <c r="B48" s="59">
        <f t="shared" si="12"/>
        <v>15.200000000000001</v>
      </c>
      <c r="C48" s="60">
        <f t="shared" si="13"/>
        <v>1.3599110132417991E-2</v>
      </c>
      <c r="D48" s="61">
        <f t="shared" si="7"/>
        <v>1011.6081600098105</v>
      </c>
      <c r="E48" s="60">
        <f t="shared" si="11"/>
        <v>24.911605784139283</v>
      </c>
      <c r="F48" s="61">
        <f t="shared" si="8"/>
        <v>0.99837962991345719</v>
      </c>
      <c r="G48" s="60">
        <f t="shared" si="14"/>
        <v>1.0002965635766075</v>
      </c>
      <c r="H48" s="61">
        <f t="shared" si="9"/>
        <v>3150.7579130929644</v>
      </c>
      <c r="I48" s="60">
        <f t="shared" si="15"/>
        <v>315.07579130929645</v>
      </c>
      <c r="J48" s="61">
        <f t="shared" si="10"/>
        <v>2.2905369047215474</v>
      </c>
      <c r="K48" s="60">
        <f t="shared" si="16"/>
        <v>7.527849065753771E-3</v>
      </c>
      <c r="L48" s="61">
        <f t="shared" si="17"/>
        <v>1.2860397566491894E-3</v>
      </c>
      <c r="M48" s="60">
        <f t="shared" si="18"/>
        <v>3.5255555289611844E-3</v>
      </c>
      <c r="N48" s="5"/>
    </row>
    <row r="49" spans="1:14" x14ac:dyDescent="0.25">
      <c r="A49" s="4">
        <v>39</v>
      </c>
      <c r="B49" s="59">
        <f t="shared" si="12"/>
        <v>15.600000000000001</v>
      </c>
      <c r="C49" s="60">
        <f t="shared" si="13"/>
        <v>1.432426982501056E-2</v>
      </c>
      <c r="D49" s="61">
        <f t="shared" si="7"/>
        <v>1011.5206719431288</v>
      </c>
      <c r="E49" s="60">
        <f t="shared" si="11"/>
        <v>24.906892246137431</v>
      </c>
      <c r="F49" s="61">
        <f t="shared" si="8"/>
        <v>0.99829328590488908</v>
      </c>
      <c r="G49" s="60">
        <f t="shared" si="14"/>
        <v>1.000312382488997</v>
      </c>
      <c r="H49" s="61">
        <f t="shared" si="9"/>
        <v>3149.8710808330347</v>
      </c>
      <c r="I49" s="60">
        <f t="shared" si="15"/>
        <v>314.98710808330344</v>
      </c>
      <c r="J49" s="61">
        <f t="shared" si="10"/>
        <v>2.2899284085746432</v>
      </c>
      <c r="K49" s="60">
        <f t="shared" si="16"/>
        <v>7.5269032925429332E-3</v>
      </c>
      <c r="L49" s="61">
        <f t="shared" si="17"/>
        <v>1.2856166258894499E-3</v>
      </c>
      <c r="M49" s="60">
        <f t="shared" si="18"/>
        <v>3.5250079673729536E-3</v>
      </c>
      <c r="N49" s="5"/>
    </row>
    <row r="50" spans="1:14" x14ac:dyDescent="0.25">
      <c r="A50" s="4">
        <v>40</v>
      </c>
      <c r="B50" s="59">
        <f t="shared" si="12"/>
        <v>16</v>
      </c>
      <c r="C50" s="60">
        <f t="shared" si="13"/>
        <v>1.5068264770889073E-2</v>
      </c>
      <c r="D50" s="61">
        <f t="shared" si="7"/>
        <v>1011.4309179357463</v>
      </c>
      <c r="E50" s="60">
        <f t="shared" si="11"/>
        <v>24.902056278989221</v>
      </c>
      <c r="F50" s="61">
        <f t="shared" si="8"/>
        <v>0.99820470558672214</v>
      </c>
      <c r="G50" s="60">
        <f t="shared" si="14"/>
        <v>1.0003286128008428</v>
      </c>
      <c r="H50" s="61">
        <f t="shared" si="9"/>
        <v>3148.9614411103007</v>
      </c>
      <c r="I50" s="60">
        <f t="shared" si="15"/>
        <v>314.89614411103008</v>
      </c>
      <c r="J50" s="61">
        <f t="shared" si="10"/>
        <v>2.2893042524598406</v>
      </c>
      <c r="K50" s="60">
        <f t="shared" si="16"/>
        <v>7.5259330619678426E-3</v>
      </c>
      <c r="L50" s="61">
        <f t="shared" si="17"/>
        <v>1.2851826347577676E-3</v>
      </c>
      <c r="M50" s="60">
        <f t="shared" si="18"/>
        <v>3.5244462786902446E-3</v>
      </c>
      <c r="N50" s="5"/>
    </row>
    <row r="51" spans="1:14" x14ac:dyDescent="0.25">
      <c r="A51" s="4">
        <v>41</v>
      </c>
      <c r="B51" s="59">
        <f t="shared" si="12"/>
        <v>16.400000000000002</v>
      </c>
      <c r="C51" s="60">
        <f t="shared" si="13"/>
        <v>1.583109496277757E-2</v>
      </c>
      <c r="D51" s="61">
        <f t="shared" si="7"/>
        <v>1011.3388984857733</v>
      </c>
      <c r="E51" s="60">
        <f t="shared" si="11"/>
        <v>24.897097882741946</v>
      </c>
      <c r="F51" s="61">
        <f t="shared" si="8"/>
        <v>0.99811388945055346</v>
      </c>
      <c r="G51" s="60">
        <f t="shared" si="14"/>
        <v>1.0003452545520122</v>
      </c>
      <c r="H51" s="61">
        <f t="shared" si="9"/>
        <v>3148.0290113489064</v>
      </c>
      <c r="I51" s="60">
        <f t="shared" si="15"/>
        <v>314.80290113489065</v>
      </c>
      <c r="J51" s="61">
        <f t="shared" si="10"/>
        <v>2.2886644475129612</v>
      </c>
      <c r="K51" s="60">
        <f t="shared" si="16"/>
        <v>7.5249383823419091E-3</v>
      </c>
      <c r="L51" s="61">
        <f t="shared" si="17"/>
        <v>1.2847377932220202E-3</v>
      </c>
      <c r="M51" s="60">
        <f t="shared" si="18"/>
        <v>3.5238704702255717E-3</v>
      </c>
      <c r="N51" s="5"/>
    </row>
    <row r="52" spans="1:14" x14ac:dyDescent="0.25">
      <c r="A52" s="4">
        <v>42</v>
      </c>
      <c r="B52" s="59">
        <f t="shared" si="12"/>
        <v>16.8</v>
      </c>
      <c r="C52" s="60">
        <f t="shared" si="13"/>
        <v>1.6612760398857063E-2</v>
      </c>
      <c r="D52" s="61">
        <f t="shared" si="7"/>
        <v>1011.2446141032028</v>
      </c>
      <c r="E52" s="60">
        <f t="shared" si="11"/>
        <v>24.892017057407429</v>
      </c>
      <c r="F52" s="61">
        <f t="shared" si="8"/>
        <v>0.99802083799970676</v>
      </c>
      <c r="G52" s="60">
        <f t="shared" si="14"/>
        <v>1.0003623077835089</v>
      </c>
      <c r="H52" s="61">
        <f t="shared" si="9"/>
        <v>3147.0738094007434</v>
      </c>
      <c r="I52" s="60">
        <f t="shared" si="15"/>
        <v>314.7073809400743</v>
      </c>
      <c r="J52" s="61">
        <f t="shared" si="10"/>
        <v>2.2880090051432482</v>
      </c>
      <c r="K52" s="60">
        <f t="shared" si="16"/>
        <v>7.5239192621803204E-3</v>
      </c>
      <c r="L52" s="61">
        <f t="shared" si="17"/>
        <v>1.2842821114945507E-3</v>
      </c>
      <c r="M52" s="60">
        <f t="shared" si="18"/>
        <v>3.5232805494699484E-3</v>
      </c>
      <c r="N52" s="5"/>
    </row>
    <row r="53" spans="1:14" x14ac:dyDescent="0.25">
      <c r="A53" s="4">
        <v>43</v>
      </c>
      <c r="B53" s="59">
        <f t="shared" si="12"/>
        <v>17.2</v>
      </c>
      <c r="C53" s="60">
        <f t="shared" si="13"/>
        <v>1.7413261071851593E-2</v>
      </c>
      <c r="D53" s="61">
        <f t="shared" si="7"/>
        <v>1011.1480653112222</v>
      </c>
      <c r="E53" s="60">
        <f t="shared" si="11"/>
        <v>24.886813803032965</v>
      </c>
      <c r="F53" s="61">
        <f t="shared" si="8"/>
        <v>0.99792555175052777</v>
      </c>
      <c r="G53" s="60">
        <f t="shared" si="14"/>
        <v>1.0003797725372336</v>
      </c>
      <c r="H53" s="61">
        <f t="shared" si="9"/>
        <v>3146.0958535583104</v>
      </c>
      <c r="I53" s="60">
        <f t="shared" si="15"/>
        <v>314.60958535583103</v>
      </c>
      <c r="J53" s="61">
        <f t="shared" si="10"/>
        <v>2.2873379370422384</v>
      </c>
      <c r="K53" s="60">
        <f t="shared" si="16"/>
        <v>7.522875710214102E-3</v>
      </c>
      <c r="L53" s="61">
        <f t="shared" si="17"/>
        <v>1.2838156000381834E-3</v>
      </c>
      <c r="M53" s="60">
        <f t="shared" si="18"/>
        <v>3.5226765241009143E-3</v>
      </c>
      <c r="N53" s="5"/>
    </row>
    <row r="54" spans="1:14" x14ac:dyDescent="0.25">
      <c r="A54" s="4">
        <v>44</v>
      </c>
      <c r="B54" s="59">
        <f t="shared" si="12"/>
        <v>17.600000000000001</v>
      </c>
      <c r="C54" s="60">
        <f t="shared" si="13"/>
        <v>1.8232596976304194E-2</v>
      </c>
      <c r="D54" s="61">
        <f t="shared" si="7"/>
        <v>1011.0492526453323</v>
      </c>
      <c r="E54" s="60">
        <f t="shared" si="11"/>
        <v>24.881488119654023</v>
      </c>
      <c r="F54" s="61">
        <f t="shared" si="8"/>
        <v>0.99782803123151476</v>
      </c>
      <c r="G54" s="60">
        <f t="shared" si="14"/>
        <v>1.000397648856145</v>
      </c>
      <c r="H54" s="61">
        <f t="shared" si="9"/>
        <v>3145.0951625453263</v>
      </c>
      <c r="I54" s="60">
        <f t="shared" si="15"/>
        <v>314.50951625453263</v>
      </c>
      <c r="J54" s="61">
        <f t="shared" si="10"/>
        <v>2.2866512551773712</v>
      </c>
      <c r="K54" s="60">
        <f t="shared" si="16"/>
        <v>7.5218077353806055E-3</v>
      </c>
      <c r="L54" s="61">
        <f t="shared" si="17"/>
        <v>1.2833382695616347E-3</v>
      </c>
      <c r="M54" s="60">
        <f t="shared" si="18"/>
        <v>3.5220584019768964E-3</v>
      </c>
      <c r="N54" s="5"/>
    </row>
    <row r="55" spans="1:14" x14ac:dyDescent="0.25">
      <c r="A55" s="4">
        <v>45</v>
      </c>
      <c r="B55" s="59">
        <f t="shared" si="12"/>
        <v>18</v>
      </c>
      <c r="C55" s="60">
        <f t="shared" si="13"/>
        <v>1.9070768106757896E-2</v>
      </c>
      <c r="D55" s="61">
        <f t="shared" si="7"/>
        <v>1010.9481766535631</v>
      </c>
      <c r="E55" s="60">
        <f t="shared" si="11"/>
        <v>24.876040007306074</v>
      </c>
      <c r="F55" s="61">
        <f t="shared" si="8"/>
        <v>0.99772827698353128</v>
      </c>
      <c r="G55" s="60">
        <f t="shared" si="14"/>
        <v>1.0004159367842183</v>
      </c>
      <c r="H55" s="61">
        <f t="shared" si="9"/>
        <v>3144.0717555184419</v>
      </c>
      <c r="I55" s="60">
        <f t="shared" si="15"/>
        <v>314.4071755518442</v>
      </c>
      <c r="J55" s="61">
        <f t="shared" si="10"/>
        <v>2.2859489717932187</v>
      </c>
      <c r="K55" s="60">
        <f t="shared" si="16"/>
        <v>7.5207153468257069E-3</v>
      </c>
      <c r="L55" s="61">
        <f t="shared" si="17"/>
        <v>1.282850131020211E-3</v>
      </c>
      <c r="M55" s="60">
        <f t="shared" si="18"/>
        <v>3.5214261911383675E-3</v>
      </c>
      <c r="N55" s="5"/>
    </row>
    <row r="56" spans="1:14" x14ac:dyDescent="0.25">
      <c r="A56" s="4">
        <v>46</v>
      </c>
      <c r="B56" s="59">
        <f t="shared" si="12"/>
        <v>18.400000000000002</v>
      </c>
      <c r="C56" s="60">
        <f t="shared" si="13"/>
        <v>1.9927774459574721E-2</v>
      </c>
      <c r="D56" s="61">
        <f t="shared" si="7"/>
        <v>1010.8448378962502</v>
      </c>
      <c r="E56" s="60">
        <f t="shared" si="11"/>
        <v>24.870469466012764</v>
      </c>
      <c r="F56" s="61">
        <f t="shared" si="8"/>
        <v>0.99762628955958566</v>
      </c>
      <c r="G56" s="60">
        <f t="shared" si="14"/>
        <v>1.0004346363664862</v>
      </c>
      <c r="H56" s="61">
        <f t="shared" si="9"/>
        <v>3143.0256520645044</v>
      </c>
      <c r="I56" s="60">
        <f t="shared" si="15"/>
        <v>314.30256520645048</v>
      </c>
      <c r="J56" s="61">
        <f t="shared" si="10"/>
        <v>2.2852310994096614</v>
      </c>
      <c r="K56" s="60">
        <f t="shared" si="16"/>
        <v>7.5195985539013594E-3</v>
      </c>
      <c r="L56" s="61">
        <f t="shared" si="17"/>
        <v>1.2823511956143807E-3</v>
      </c>
      <c r="M56" s="60">
        <f t="shared" si="18"/>
        <v>3.5207798998062967E-3</v>
      </c>
      <c r="N56" s="5"/>
    </row>
    <row r="57" spans="1:14" x14ac:dyDescent="0.25">
      <c r="A57" s="4">
        <v>47</v>
      </c>
      <c r="B57" s="59">
        <f t="shared" si="12"/>
        <v>18.8</v>
      </c>
      <c r="C57" s="60">
        <f t="shared" si="13"/>
        <v>2.0803616025659721E-2</v>
      </c>
      <c r="D57" s="61">
        <f t="shared" si="7"/>
        <v>1010.7392369469086</v>
      </c>
      <c r="E57" s="60">
        <f t="shared" si="11"/>
        <v>24.864776495833212</v>
      </c>
      <c r="F57" s="61">
        <f t="shared" si="8"/>
        <v>0.99752206952569311</v>
      </c>
      <c r="G57" s="60">
        <f t="shared" si="14"/>
        <v>1.0004537476488811</v>
      </c>
      <c r="H57" s="61">
        <f t="shared" si="9"/>
        <v>3141.9568722089075</v>
      </c>
      <c r="I57" s="60">
        <f t="shared" si="15"/>
        <v>314.19568722089076</v>
      </c>
      <c r="J57" s="61">
        <f t="shared" si="10"/>
        <v>2.2844976508276726</v>
      </c>
      <c r="K57" s="60">
        <f t="shared" si="16"/>
        <v>7.5184573661749663E-3</v>
      </c>
      <c r="L57" s="61">
        <f t="shared" si="17"/>
        <v>1.2818414747936379E-3</v>
      </c>
      <c r="M57" s="60">
        <f t="shared" si="18"/>
        <v>3.5201195363874418E-3</v>
      </c>
      <c r="N57" s="5"/>
    </row>
    <row r="58" spans="1:14" x14ac:dyDescent="0.25">
      <c r="A58" s="4">
        <v>48</v>
      </c>
      <c r="B58" s="59">
        <f t="shared" si="12"/>
        <v>19.200000000000003</v>
      </c>
      <c r="C58" s="60">
        <f t="shared" si="13"/>
        <v>2.1698292801374919E-2</v>
      </c>
      <c r="D58" s="61">
        <f t="shared" si="7"/>
        <v>1010.6313743909126</v>
      </c>
      <c r="E58" s="60">
        <f t="shared" si="11"/>
        <v>24.858961096791063</v>
      </c>
      <c r="F58" s="61">
        <f t="shared" si="8"/>
        <v>0.99741561745957319</v>
      </c>
      <c r="G58" s="60">
        <f t="shared" si="14"/>
        <v>1.0004732706784718</v>
      </c>
      <c r="H58" s="61">
        <f t="shared" si="9"/>
        <v>3140.8654364017275</v>
      </c>
      <c r="I58" s="60">
        <f t="shared" si="15"/>
        <v>314.08654364017275</v>
      </c>
      <c r="J58" s="61">
        <f t="shared" si="10"/>
        <v>2.2837486391198611</v>
      </c>
      <c r="K58" s="60">
        <f t="shared" si="16"/>
        <v>7.5172917934150287E-3</v>
      </c>
      <c r="L58" s="61">
        <f t="shared" si="17"/>
        <v>1.2813209802497599E-3</v>
      </c>
      <c r="M58" s="60">
        <f t="shared" si="18"/>
        <v>3.5194451094659159E-3</v>
      </c>
      <c r="N58" s="5"/>
    </row>
    <row r="59" spans="1:14" x14ac:dyDescent="0.25">
      <c r="A59" s="4">
        <v>49</v>
      </c>
      <c r="B59" s="59">
        <f t="shared" si="12"/>
        <v>19.600000000000001</v>
      </c>
      <c r="C59" s="60">
        <f t="shared" si="13"/>
        <v>2.2611804781263345E-2</v>
      </c>
      <c r="D59" s="61">
        <f t="shared" si="7"/>
        <v>1010.5212508263687</v>
      </c>
      <c r="E59" s="60">
        <f t="shared" si="11"/>
        <v>24.853023268921788</v>
      </c>
      <c r="F59" s="61">
        <f t="shared" si="8"/>
        <v>0.99730693395151115</v>
      </c>
      <c r="G59" s="60">
        <f t="shared" si="14"/>
        <v>1.0004932055033064</v>
      </c>
      <c r="H59" s="61">
        <f t="shared" si="9"/>
        <v>3139.7513655260495</v>
      </c>
      <c r="I59" s="60">
        <f t="shared" si="15"/>
        <v>313.97513655260497</v>
      </c>
      <c r="J59" s="61">
        <f t="shared" si="10"/>
        <v>2.2829840776362444</v>
      </c>
      <c r="K59" s="60">
        <f t="shared" si="16"/>
        <v>7.5161018456005139E-3</v>
      </c>
      <c r="L59" s="61">
        <f t="shared" si="17"/>
        <v>1.2807897239206524E-3</v>
      </c>
      <c r="M59" s="60">
        <f t="shared" si="18"/>
        <v>3.5187566278084663E-3</v>
      </c>
      <c r="N59" s="5"/>
    </row>
    <row r="60" spans="1:14" x14ac:dyDescent="0.25">
      <c r="A60" s="4">
        <v>50</v>
      </c>
      <c r="B60" s="59">
        <f t="shared" si="12"/>
        <v>20</v>
      </c>
      <c r="C60" s="60">
        <f t="shared" si="13"/>
        <v>2.3544151958049042E-2</v>
      </c>
      <c r="D60" s="61">
        <f t="shared" si="7"/>
        <v>1010.4088668641117</v>
      </c>
      <c r="E60" s="60">
        <f t="shared" si="11"/>
        <v>24.846963012272681</v>
      </c>
      <c r="F60" s="61">
        <f t="shared" si="8"/>
        <v>0.997196019604354</v>
      </c>
      <c r="G60" s="60">
        <f t="shared" si="14"/>
        <v>1.0005135521724127</v>
      </c>
      <c r="H60" s="61">
        <f t="shared" si="9"/>
        <v>3138.6146808974036</v>
      </c>
      <c r="I60" s="60">
        <f t="shared" si="15"/>
        <v>313.86146808974036</v>
      </c>
      <c r="J60" s="61">
        <f t="shared" si="10"/>
        <v>2.2822039800039171</v>
      </c>
      <c r="K60" s="60">
        <f t="shared" si="16"/>
        <v>7.5148875329207505E-3</v>
      </c>
      <c r="L60" s="61">
        <f t="shared" si="17"/>
        <v>1.2802477179899487E-3</v>
      </c>
      <c r="M60" s="60">
        <f t="shared" si="18"/>
        <v>3.5180541003642799E-3</v>
      </c>
      <c r="N60" s="5"/>
    </row>
    <row r="61" spans="1:14" x14ac:dyDescent="0.25">
      <c r="A61" s="4">
        <v>51</v>
      </c>
      <c r="B61" s="59">
        <f t="shared" si="12"/>
        <v>20.400000000000002</v>
      </c>
      <c r="C61" s="60">
        <f t="shared" si="13"/>
        <v>2.4495334326275042E-2</v>
      </c>
      <c r="D61" s="61">
        <f t="shared" si="7"/>
        <v>1010.2942231272617</v>
      </c>
      <c r="E61" s="60">
        <f t="shared" si="11"/>
        <v>24.840780326879212</v>
      </c>
      <c r="F61" s="61">
        <f t="shared" si="8"/>
        <v>0.99708287503307347</v>
      </c>
      <c r="G61" s="60">
        <f t="shared" si="14"/>
        <v>1.0005343107358762</v>
      </c>
      <c r="H61" s="61">
        <f t="shared" si="9"/>
        <v>3137.4554042587433</v>
      </c>
      <c r="I61" s="60">
        <f t="shared" si="15"/>
        <v>313.74554042587437</v>
      </c>
      <c r="J61" s="61">
        <f t="shared" si="10"/>
        <v>2.2814083601236677</v>
      </c>
      <c r="K61" s="60">
        <f t="shared" si="16"/>
        <v>7.5136488657705329E-3</v>
      </c>
      <c r="L61" s="61">
        <f t="shared" si="17"/>
        <v>1.2796949748844796E-3</v>
      </c>
      <c r="M61" s="60">
        <f t="shared" si="18"/>
        <v>3.5173375362620054E-3</v>
      </c>
      <c r="N61" s="5"/>
    </row>
    <row r="62" spans="1:14" x14ac:dyDescent="0.25">
      <c r="A62" s="4">
        <v>52</v>
      </c>
      <c r="B62" s="59">
        <f t="shared" si="12"/>
        <v>20.8</v>
      </c>
      <c r="C62" s="60">
        <f t="shared" si="13"/>
        <v>2.5465351878665388E-2</v>
      </c>
      <c r="D62" s="61">
        <f t="shared" si="7"/>
        <v>1010.177320251658</v>
      </c>
      <c r="E62" s="60">
        <f t="shared" si="11"/>
        <v>24.834475212788675</v>
      </c>
      <c r="F62" s="61">
        <f t="shared" si="8"/>
        <v>0.99696750086519415</v>
      </c>
      <c r="G62" s="60">
        <f t="shared" si="14"/>
        <v>1.0005554812447632</v>
      </c>
      <c r="H62" s="61">
        <f t="shared" si="9"/>
        <v>3136.2735577843018</v>
      </c>
      <c r="I62" s="60">
        <f t="shared" si="15"/>
        <v>313.62735577843017</v>
      </c>
      <c r="J62" s="61">
        <f t="shared" si="10"/>
        <v>2.280597232172684</v>
      </c>
      <c r="K62" s="60">
        <f t="shared" si="16"/>
        <v>7.5123858547547877E-3</v>
      </c>
      <c r="L62" s="61">
        <f t="shared" si="17"/>
        <v>1.2791315072759779E-3</v>
      </c>
      <c r="M62" s="60">
        <f t="shared" si="18"/>
        <v>3.5166069448123063E-3</v>
      </c>
      <c r="N62" s="5"/>
    </row>
    <row r="63" spans="1:14" x14ac:dyDescent="0.25">
      <c r="A63" s="4">
        <v>53</v>
      </c>
      <c r="B63" s="59">
        <f t="shared" si="12"/>
        <v>21.200000000000003</v>
      </c>
      <c r="C63" s="60">
        <f t="shared" si="13"/>
        <v>2.6454204607944121E-2</v>
      </c>
      <c r="D63" s="61">
        <f t="shared" si="7"/>
        <v>1010.0581588856355</v>
      </c>
      <c r="E63" s="60">
        <f t="shared" si="11"/>
        <v>24.828047670048363</v>
      </c>
      <c r="F63" s="61">
        <f t="shared" si="8"/>
        <v>0.99684989774057298</v>
      </c>
      <c r="G63" s="60">
        <f t="shared" si="14"/>
        <v>1.0005770637511595</v>
      </c>
      <c r="H63" s="61">
        <f t="shared" si="9"/>
        <v>3135.0691640767682</v>
      </c>
      <c r="I63" s="60">
        <f t="shared" si="15"/>
        <v>313.50691640767684</v>
      </c>
      <c r="J63" s="61">
        <f t="shared" si="10"/>
        <v>2.2797706106026783</v>
      </c>
      <c r="K63" s="60">
        <f t="shared" si="16"/>
        <v>7.5110985106860255E-3</v>
      </c>
      <c r="L63" s="61">
        <f t="shared" si="17"/>
        <v>1.2785573280795891E-3</v>
      </c>
      <c r="M63" s="60">
        <f t="shared" si="18"/>
        <v>3.5158623355062459E-3</v>
      </c>
      <c r="N63" s="5"/>
    </row>
    <row r="64" spans="1:14" x14ac:dyDescent="0.25">
      <c r="A64" s="4">
        <v>54</v>
      </c>
      <c r="B64" s="59">
        <f t="shared" si="12"/>
        <v>21.6</v>
      </c>
      <c r="C64" s="60">
        <f t="shared" si="13"/>
        <v>2.7461892512292252E-2</v>
      </c>
      <c r="D64" s="61">
        <f t="shared" si="7"/>
        <v>1009.9367396893629</v>
      </c>
      <c r="E64" s="60">
        <f t="shared" si="11"/>
        <v>24.8214976986701</v>
      </c>
      <c r="F64" s="61">
        <f t="shared" si="8"/>
        <v>0.99673006631074546</v>
      </c>
      <c r="G64" s="60">
        <f t="shared" si="14"/>
        <v>1.0005990583082895</v>
      </c>
      <c r="H64" s="61">
        <f t="shared" si="9"/>
        <v>3133.8422461600294</v>
      </c>
      <c r="I64" s="60">
        <f t="shared" si="15"/>
        <v>313.38422461600294</v>
      </c>
      <c r="J64" s="61">
        <f t="shared" si="10"/>
        <v>2.2789285101349699</v>
      </c>
      <c r="K64" s="60">
        <f t="shared" si="16"/>
        <v>7.5097868445771271E-3</v>
      </c>
      <c r="L64" s="61">
        <f t="shared" si="17"/>
        <v>1.2779724504502731E-3</v>
      </c>
      <c r="M64" s="60">
        <f t="shared" si="18"/>
        <v>3.5151037180109605E-3</v>
      </c>
      <c r="N64" s="5"/>
    </row>
    <row r="65" spans="1:14" x14ac:dyDescent="0.25">
      <c r="A65" s="4">
        <v>55</v>
      </c>
      <c r="B65" s="59">
        <f t="shared" si="12"/>
        <v>22</v>
      </c>
      <c r="C65" s="60">
        <f t="shared" si="13"/>
        <v>2.8488415578976856E-2</v>
      </c>
      <c r="D65" s="61">
        <f t="shared" si="7"/>
        <v>1009.8130633368102</v>
      </c>
      <c r="E65" s="60">
        <f t="shared" si="11"/>
        <v>24.81482529873665</v>
      </c>
      <c r="F65" s="61">
        <f t="shared" si="8"/>
        <v>0.99660800724086862</v>
      </c>
      <c r="G65" s="60">
        <f t="shared" si="14"/>
        <v>1.0006214649701612</v>
      </c>
      <c r="H65" s="61">
        <f t="shared" si="9"/>
        <v>3132.5928274984876</v>
      </c>
      <c r="I65" s="60">
        <f t="shared" si="15"/>
        <v>313.25928274984875</v>
      </c>
      <c r="J65" s="61">
        <f t="shared" si="10"/>
        <v>2.2780709457738073</v>
      </c>
      <c r="K65" s="60">
        <f t="shared" si="16"/>
        <v>7.5084508676625484E-3</v>
      </c>
      <c r="L65" s="61">
        <f t="shared" si="17"/>
        <v>1.277376887791868E-3</v>
      </c>
      <c r="M65" s="60">
        <f t="shared" si="18"/>
        <v>3.5143311021817673E-3</v>
      </c>
      <c r="N65" s="5"/>
    </row>
    <row r="66" spans="1:14" x14ac:dyDescent="0.25">
      <c r="A66" s="4">
        <v>56</v>
      </c>
      <c r="B66" s="59">
        <f t="shared" si="12"/>
        <v>22.400000000000002</v>
      </c>
      <c r="C66" s="60">
        <f t="shared" si="13"/>
        <v>2.9533773804359953E-2</v>
      </c>
      <c r="D66" s="61">
        <f t="shared" si="7"/>
        <v>1009.6871305133329</v>
      </c>
      <c r="E66" s="60">
        <f t="shared" si="11"/>
        <v>24.80803047027166</v>
      </c>
      <c r="F66" s="61">
        <f t="shared" si="8"/>
        <v>0.99648372120733575</v>
      </c>
      <c r="G66" s="60">
        <f t="shared" si="14"/>
        <v>1.0006442837920004</v>
      </c>
      <c r="H66" s="61">
        <f t="shared" si="9"/>
        <v>3131.3209319720572</v>
      </c>
      <c r="I66" s="60">
        <f t="shared" si="15"/>
        <v>313.13209319720573</v>
      </c>
      <c r="J66" s="61">
        <f t="shared" si="10"/>
        <v>2.2771979327892744</v>
      </c>
      <c r="K66" s="60">
        <f t="shared" si="16"/>
        <v>7.5070905913720886E-3</v>
      </c>
      <c r="L66" s="61">
        <f t="shared" si="17"/>
        <v>1.2767706537450221E-3</v>
      </c>
      <c r="M66" s="60">
        <f t="shared" si="18"/>
        <v>3.5135444980468446E-3</v>
      </c>
      <c r="N66" s="5"/>
    </row>
    <row r="67" spans="1:14" x14ac:dyDescent="0.25">
      <c r="A67" s="4">
        <v>57</v>
      </c>
      <c r="B67" s="59">
        <f t="shared" si="12"/>
        <v>22.8</v>
      </c>
      <c r="C67" s="60">
        <f t="shared" si="13"/>
        <v>3.0597967181165586E-2</v>
      </c>
      <c r="D67" s="61">
        <f t="shared" si="7"/>
        <v>1009.5589419172024</v>
      </c>
      <c r="E67" s="60">
        <f t="shared" si="11"/>
        <v>24.801113213322424</v>
      </c>
      <c r="F67" s="61">
        <f t="shared" si="8"/>
        <v>0.99635720889928692</v>
      </c>
      <c r="G67" s="60">
        <f>($C$4+273.15)/(273.15+$E67)</f>
        <v>1.0006675148299755</v>
      </c>
      <c r="H67" s="61">
        <f t="shared" si="9"/>
        <v>3130.0265838910232</v>
      </c>
      <c r="I67" s="60">
        <f t="shared" si="15"/>
        <v>313.00265838910235</v>
      </c>
      <c r="J67" s="61">
        <f t="shared" si="10"/>
        <v>2.2763094867275524</v>
      </c>
      <c r="K67" s="60">
        <f t="shared" si="16"/>
        <v>7.5057060273473796E-3</v>
      </c>
      <c r="L67" s="61">
        <f t="shared" si="17"/>
        <v>1.2761537621941265E-3</v>
      </c>
      <c r="M67" s="60">
        <f t="shared" si="18"/>
        <v>3.5127439158166027E-3</v>
      </c>
      <c r="N67" s="5"/>
    </row>
    <row r="68" spans="1:14" x14ac:dyDescent="0.25">
      <c r="A68" s="4">
        <v>58</v>
      </c>
      <c r="B68" s="59">
        <f t="shared" si="12"/>
        <v>23.200000000000003</v>
      </c>
      <c r="C68" s="60">
        <f t="shared" si="13"/>
        <v>3.1680995702117798E-2</v>
      </c>
      <c r="D68" s="61">
        <f t="shared" si="7"/>
        <v>1009.4284982591615</v>
      </c>
      <c r="E68" s="60">
        <f t="shared" si="11"/>
        <v>24.794073527936234</v>
      </c>
      <c r="F68" s="61">
        <f t="shared" si="8"/>
        <v>0.9962284710181708</v>
      </c>
      <c r="G68" s="60">
        <f t="shared" si="14"/>
        <v>1.0006911581412761</v>
      </c>
      <c r="H68" s="61">
        <f t="shared" si="9"/>
        <v>3128.7098079909529</v>
      </c>
      <c r="I68" s="60">
        <f t="shared" si="15"/>
        <v>312.87098079909526</v>
      </c>
      <c r="J68" s="61">
        <f t="shared" si="10"/>
        <v>2.2754056234074995</v>
      </c>
      <c r="K68" s="60">
        <f t="shared" si="16"/>
        <v>7.5042971874369722E-3</v>
      </c>
      <c r="L68" s="61">
        <f t="shared" si="17"/>
        <v>1.2755262272647401E-3</v>
      </c>
      <c r="M68" s="60">
        <f t="shared" si="18"/>
        <v>3.5119293658806856E-3</v>
      </c>
      <c r="N68" s="5"/>
    </row>
    <row r="69" spans="1:14" x14ac:dyDescent="0.25">
      <c r="A69" s="4">
        <v>59</v>
      </c>
      <c r="B69" s="59">
        <f t="shared" si="12"/>
        <v>23.6</v>
      </c>
      <c r="C69" s="60">
        <f t="shared" si="13"/>
        <v>3.278285935994063E-2</v>
      </c>
      <c r="D69" s="61">
        <f t="shared" si="7"/>
        <v>1009.29580026242</v>
      </c>
      <c r="E69" s="60">
        <f t="shared" si="11"/>
        <v>24.786911414160386</v>
      </c>
      <c r="F69" s="61">
        <f t="shared" si="8"/>
        <v>0.99609750827773991</v>
      </c>
      <c r="G69" s="60">
        <f t="shared" si="14"/>
        <v>1.0007152137841135</v>
      </c>
      <c r="H69" s="61">
        <f t="shared" si="9"/>
        <v>3127.3706294320286</v>
      </c>
      <c r="I69" s="60">
        <f t="shared" si="15"/>
        <v>312.73706294320289</v>
      </c>
      <c r="J69" s="61">
        <f t="shared" si="10"/>
        <v>2.2744863589202615</v>
      </c>
      <c r="K69" s="60">
        <f t="shared" si="16"/>
        <v>7.5028640836962215E-3</v>
      </c>
      <c r="L69" s="61">
        <f t="shared" si="17"/>
        <v>1.2748880633231172E-3</v>
      </c>
      <c r="M69" s="60">
        <f t="shared" si="18"/>
        <v>3.5111008588077359E-3</v>
      </c>
      <c r="N69" s="5"/>
    </row>
    <row r="70" spans="1:14" x14ac:dyDescent="0.25">
      <c r="A70" s="4">
        <v>60</v>
      </c>
      <c r="B70" s="59">
        <f t="shared" si="12"/>
        <v>24</v>
      </c>
      <c r="C70" s="60">
        <f t="shared" si="13"/>
        <v>3.3903558147358126E-2</v>
      </c>
      <c r="D70" s="61">
        <f t="shared" si="7"/>
        <v>1009.1608486626493</v>
      </c>
      <c r="E70" s="60">
        <f t="shared" si="11"/>
        <v>24.779626872042172</v>
      </c>
      <c r="F70" s="61">
        <f t="shared" si="8"/>
        <v>0.99596432140404567</v>
      </c>
      <c r="G70" s="60">
        <f t="shared" si="14"/>
        <v>1.0007396818177217</v>
      </c>
      <c r="H70" s="61">
        <f t="shared" si="9"/>
        <v>3126.0090737983637</v>
      </c>
      <c r="I70" s="60">
        <f t="shared" si="15"/>
        <v>312.60090737983637</v>
      </c>
      <c r="J70" s="61">
        <f t="shared" si="10"/>
        <v>2.2735517096288689</v>
      </c>
      <c r="K70" s="60">
        <f t="shared" si="16"/>
        <v>7.5014067283871262E-3</v>
      </c>
      <c r="L70" s="61">
        <f t="shared" si="17"/>
        <v>1.2742392849757179E-3</v>
      </c>
      <c r="M70" s="60">
        <f t="shared" si="18"/>
        <v>3.5102584053451377E-3</v>
      </c>
      <c r="N70" s="5"/>
    </row>
    <row r="71" spans="1:14" x14ac:dyDescent="0.25">
      <c r="A71" s="4">
        <v>61</v>
      </c>
      <c r="B71" s="59">
        <f t="shared" si="12"/>
        <v>24.400000000000002</v>
      </c>
      <c r="C71" s="60">
        <f t="shared" si="13"/>
        <v>3.5043092057094327E-2</v>
      </c>
      <c r="D71" s="61">
        <f t="shared" si="7"/>
        <v>1009.0236442079777</v>
      </c>
      <c r="E71" s="60">
        <f t="shared" si="11"/>
        <v>24.772219901628887</v>
      </c>
      <c r="F71" s="61">
        <f t="shared" si="8"/>
        <v>0.99582891113543315</v>
      </c>
      <c r="G71" s="60">
        <f t="shared" si="14"/>
        <v>1.0007645623023564</v>
      </c>
      <c r="H71" s="61">
        <f t="shared" si="9"/>
        <v>3124.6251670973124</v>
      </c>
      <c r="I71" s="60">
        <f t="shared" si="15"/>
        <v>312.46251670973123</v>
      </c>
      <c r="J71" s="61">
        <f t="shared" si="10"/>
        <v>2.2726016921678402</v>
      </c>
      <c r="K71" s="60">
        <f t="shared" si="16"/>
        <v>7.4999251339781855E-3</v>
      </c>
      <c r="L71" s="61">
        <f t="shared" si="17"/>
        <v>1.2735799070687254E-3</v>
      </c>
      <c r="M71" s="60">
        <f t="shared" si="18"/>
        <v>3.5094020164187648E-3</v>
      </c>
      <c r="N71" s="5"/>
    </row>
    <row r="72" spans="1:14" x14ac:dyDescent="0.25">
      <c r="A72" s="4">
        <v>62</v>
      </c>
      <c r="B72" s="59">
        <f t="shared" si="12"/>
        <v>24.8</v>
      </c>
      <c r="C72" s="60">
        <f t="shared" si="13"/>
        <v>3.6201461080054287E-2</v>
      </c>
      <c r="D72" s="61">
        <f t="shared" si="7"/>
        <v>1008.8841876592035</v>
      </c>
      <c r="E72" s="60">
        <f t="shared" si="11"/>
        <v>24.764690502979647</v>
      </c>
      <c r="F72" s="61">
        <f t="shared" si="8"/>
        <v>0.99569127822275205</v>
      </c>
      <c r="G72" s="60">
        <f t="shared" si="14"/>
        <v>1.0007898552992571</v>
      </c>
      <c r="H72" s="61">
        <f t="shared" si="9"/>
        <v>3123.2189357609755</v>
      </c>
      <c r="I72" s="60">
        <f t="shared" si="15"/>
        <v>312.32189357609752</v>
      </c>
      <c r="J72" s="61">
        <f t="shared" si="10"/>
        <v>2.2716363234442856</v>
      </c>
      <c r="K72" s="60">
        <f t="shared" si="16"/>
        <v>7.4984193131466112E-3</v>
      </c>
      <c r="L72" s="61">
        <f t="shared" si="17"/>
        <v>1.2729099446885982E-3</v>
      </c>
      <c r="M72" s="60">
        <f t="shared" si="18"/>
        <v>3.508531703134084E-3</v>
      </c>
      <c r="N72" s="5"/>
    </row>
    <row r="73" spans="1:14" x14ac:dyDescent="0.25">
      <c r="A73" s="4">
        <v>63</v>
      </c>
      <c r="B73" s="59">
        <f t="shared" si="12"/>
        <v>25.200000000000003</v>
      </c>
      <c r="C73" s="60">
        <f t="shared" si="13"/>
        <v>3.7378665210781037E-2</v>
      </c>
      <c r="D73" s="61">
        <f t="shared" si="7"/>
        <v>1008.7424797891333</v>
      </c>
      <c r="E73" s="60">
        <f t="shared" si="11"/>
        <v>24.757038676129923</v>
      </c>
      <c r="F73" s="61">
        <f t="shared" si="8"/>
        <v>0.99555142342870295</v>
      </c>
      <c r="G73" s="60">
        <f t="shared" si="14"/>
        <v>1.0008155608707661</v>
      </c>
      <c r="H73" s="61">
        <f t="shared" si="9"/>
        <v>3121.7904066388569</v>
      </c>
      <c r="I73" s="60">
        <f t="shared" si="15"/>
        <v>312.1790406638857</v>
      </c>
      <c r="J73" s="61">
        <f t="shared" si="10"/>
        <v>2.2706556206329394</v>
      </c>
      <c r="K73" s="60">
        <f t="shared" si="16"/>
        <v>7.4968892787711065E-3</v>
      </c>
      <c r="L73" s="61">
        <f t="shared" si="17"/>
        <v>1.2722294131584069E-3</v>
      </c>
      <c r="M73" s="60">
        <f t="shared" si="18"/>
        <v>3.5076474767718052E-3</v>
      </c>
      <c r="N73" s="5"/>
    </row>
    <row r="74" spans="1:14" x14ac:dyDescent="0.25">
      <c r="A74" s="4">
        <v>64</v>
      </c>
      <c r="B74" s="59">
        <f t="shared" ref="B74:B110" si="19">$C$6/100*$A74</f>
        <v>25.6</v>
      </c>
      <c r="C74" s="60">
        <f t="shared" ref="C74:C110" si="20">($B74^2+(4/3*6371)^2+2*$B74*4/3*6371*SIN($C$5*PI()/180))^0.5-4/3*6371</f>
        <v>3.857470444199862E-2</v>
      </c>
      <c r="D74" s="61">
        <f t="shared" si="7"/>
        <v>1008.598521383233</v>
      </c>
      <c r="E74" s="60">
        <f t="shared" si="11"/>
        <v>24.749264421127009</v>
      </c>
      <c r="F74" s="61">
        <f t="shared" si="8"/>
        <v>0.99540934752848065</v>
      </c>
      <c r="G74" s="60">
        <f t="shared" ref="G74:G110" si="21">($C$4+273.15)/(273.15+$E74)</f>
        <v>1.0008416790802093</v>
      </c>
      <c r="H74" s="61">
        <f t="shared" si="9"/>
        <v>3120.3396070037684</v>
      </c>
      <c r="I74" s="60">
        <f t="shared" ref="I74:I110" si="22">$C$3*$H74/100</f>
        <v>312.03396070037684</v>
      </c>
      <c r="J74" s="61">
        <f t="shared" si="10"/>
        <v>2.2696596011802881</v>
      </c>
      <c r="K74" s="60">
        <f t="shared" ref="K74:K110" si="23">IF($C$2&lt;=57,(7.27*$G74/($C$2^2+0.351*$F74^2*$G74^2)+7.5/(($C$2-57)^2+2.44*$F74^2*$G74^2))*$C$2^2*$F74^2*$G74^2*0.001,IF(AND($C$2&gt;=63,$C$2&lt;=350),(2*10^-4*$G74^1.5*(1-1.2*10^-5*$C$2^1.5)+(4/(($C$2-63)^2+1.5*$F74^2*$G74^2))+(0.28*$G74^2/(($C$2-118.75)^2+2.84*$F74^2*$G74^2)))*$C$2^2*$F74^2*$G74^2*0.001,IF(AND($C$2&gt;=57,$C$2&lt;63),(($C$2-57)*($C$2-60)/18)*11-1.66*$F74^2*$G74^8.5*($C$2-57)*($C$2-63)+(($C$2-60)*($C$2-63)/18)*11,"OUT OF RANGE")))</f>
        <v>7.4953350439387733E-3</v>
      </c>
      <c r="L74" s="61">
        <f t="shared" ref="L74:L110" si="24">IF($C$2&lt;=350,(3.27*10^-2*$G74+1.67*10^-3*$J74*$G74^7/$F74+7.7*10^-4*$C$2^0.5+(3.79/(($C$2-22.235)^2+9.18*$F74^2*$G74))+(11.73*$G74/(($C$2-183.31)^2+11.85*$F74^2*$G74))+(4.01*$G74/(($C$2-325.153)^2+10.44*$F74^2*$G74)))*$C$2^2*$J74*$F74*$G74*10^-4,"OUT OF RANGE")</f>
        <v>1.2715383280404759E-3</v>
      </c>
      <c r="M74" s="60">
        <f t="shared" ref="M74:M110" si="25">($K74+$L74)*($C$6/100)</f>
        <v>3.5067493487916999E-3</v>
      </c>
      <c r="N74" s="5"/>
    </row>
    <row r="75" spans="1:14" x14ac:dyDescent="0.25">
      <c r="A75" s="4">
        <v>65</v>
      </c>
      <c r="B75" s="59">
        <f t="shared" si="19"/>
        <v>26</v>
      </c>
      <c r="C75" s="60">
        <f t="shared" si="20"/>
        <v>3.9789578762793099E-2</v>
      </c>
      <c r="D75" s="61">
        <f t="shared" ref="D75:D110" si="26">IF(C75&lt;94,1013.25*EXP(8.387*(-$C75)/((8.387)*(8.387-0.0887*$C75))),10^-100)</f>
        <v>1008.4523132398413</v>
      </c>
      <c r="E75" s="60">
        <f t="shared" si="11"/>
        <v>24.741367738041845</v>
      </c>
      <c r="F75" s="61">
        <f t="shared" ref="F75:F110" si="27">$D75/1013.25</f>
        <v>0.99526505130998399</v>
      </c>
      <c r="G75" s="60">
        <f t="shared" si="21"/>
        <v>1.0008682099918571</v>
      </c>
      <c r="H75" s="61">
        <f t="shared" ref="H75:H110" si="28">IF(E75&gt;-235,6.112*EXP(17.67*$E75/($E75+243.5))*100,0)</f>
        <v>3118.8665645532888</v>
      </c>
      <c r="I75" s="60">
        <f t="shared" si="22"/>
        <v>311.88665645532888</v>
      </c>
      <c r="J75" s="61">
        <f t="shared" ref="J75:J110" si="29">1000*$I75/(461.5*($E75+273.15))</f>
        <v>2.2686482828056533</v>
      </c>
      <c r="K75" s="60">
        <f t="shared" si="23"/>
        <v>7.493756621947319E-3</v>
      </c>
      <c r="L75" s="61">
        <f t="shared" si="24"/>
        <v>1.270836705136915E-3</v>
      </c>
      <c r="M75" s="60">
        <f t="shared" si="25"/>
        <v>3.5058373308336937E-3</v>
      </c>
      <c r="N75" s="5"/>
    </row>
    <row r="76" spans="1:14" x14ac:dyDescent="0.25">
      <c r="A76" s="4">
        <v>66</v>
      </c>
      <c r="B76" s="59">
        <f t="shared" si="19"/>
        <v>26.400000000000002</v>
      </c>
      <c r="C76" s="60">
        <f t="shared" si="20"/>
        <v>4.1023288165888516E-2</v>
      </c>
      <c r="D76" s="61">
        <f t="shared" si="26"/>
        <v>1008.3038561692885</v>
      </c>
      <c r="E76" s="60">
        <f t="shared" ref="E76:E110" si="30">IF(E75&lt;=-250,-250,IF(IF($C76&lt;=10,(($C$4+273.15)-0.0065*$C76*1000)-273.15,0.0000154437*$C76^4 - 0.00442554*$C76^3 + 0.363543*$C76^2 - 9.46843*$C76 + 18.5219-(-44.0792-((($C$4+273.15)-0.0065*10*1000)-273.15)))&lt;-250,-250,IF($C76&lt;=10,(($C$4+273.15)-0.0065*$C76*1000)-273.15,0.0000154437*$C76^4 - 0.00442554*$C76^3 + 0.363543*$C76^2 - 9.46843*$C76 + 18.5219-(-44.0792-((($C$4+273.15)-0.0065*10*1000)-273.15)))))</f>
        <v>24.733348626921725</v>
      </c>
      <c r="F76" s="61">
        <f t="shared" si="27"/>
        <v>0.99511853557294694</v>
      </c>
      <c r="G76" s="60">
        <f t="shared" si="21"/>
        <v>1.0008951536710844</v>
      </c>
      <c r="H76" s="61">
        <f t="shared" si="28"/>
        <v>3117.3713074001926</v>
      </c>
      <c r="I76" s="60">
        <f t="shared" si="22"/>
        <v>311.73713074001927</v>
      </c>
      <c r="J76" s="61">
        <f t="shared" si="29"/>
        <v>2.2676216834946925</v>
      </c>
      <c r="K76" s="60">
        <f t="shared" si="23"/>
        <v>7.4921540262954797E-3</v>
      </c>
      <c r="L76" s="61">
        <f t="shared" si="24"/>
        <v>1.2701245604848808E-3</v>
      </c>
      <c r="M76" s="60">
        <f t="shared" si="25"/>
        <v>3.5049114347121442E-3</v>
      </c>
      <c r="N76" s="5"/>
    </row>
    <row r="77" spans="1:14" x14ac:dyDescent="0.25">
      <c r="A77" s="4">
        <v>67</v>
      </c>
      <c r="B77" s="59">
        <f t="shared" si="19"/>
        <v>26.8</v>
      </c>
      <c r="C77" s="60">
        <f t="shared" si="20"/>
        <v>4.2275832644008915E-2</v>
      </c>
      <c r="D77" s="61">
        <f t="shared" si="26"/>
        <v>1008.1531509943284</v>
      </c>
      <c r="E77" s="60">
        <f t="shared" si="30"/>
        <v>24.725207087813942</v>
      </c>
      <c r="F77" s="61">
        <f t="shared" si="27"/>
        <v>0.99496980112936428</v>
      </c>
      <c r="G77" s="60">
        <f t="shared" si="21"/>
        <v>1.0009225101842902</v>
      </c>
      <c r="H77" s="61">
        <f t="shared" si="28"/>
        <v>3115.853864076103</v>
      </c>
      <c r="I77" s="60">
        <f t="shared" si="22"/>
        <v>311.58538640761032</v>
      </c>
      <c r="J77" s="61">
        <f t="shared" si="29"/>
        <v>2.2665798215019879</v>
      </c>
      <c r="K77" s="60">
        <f t="shared" si="23"/>
        <v>7.4905272706875456E-3</v>
      </c>
      <c r="L77" s="61">
        <f t="shared" si="24"/>
        <v>1.2694019103581435E-3</v>
      </c>
      <c r="M77" s="60">
        <f t="shared" si="25"/>
        <v>3.5039716724182754E-3</v>
      </c>
      <c r="N77" s="5"/>
    </row>
    <row r="78" spans="1:14" x14ac:dyDescent="0.25">
      <c r="A78" s="4">
        <v>68</v>
      </c>
      <c r="B78" s="59">
        <f t="shared" si="19"/>
        <v>27.200000000000003</v>
      </c>
      <c r="C78" s="60">
        <f t="shared" si="20"/>
        <v>4.3547212189878337E-2</v>
      </c>
      <c r="D78" s="61">
        <f t="shared" si="26"/>
        <v>1008.0001985501326</v>
      </c>
      <c r="E78" s="60">
        <f t="shared" si="30"/>
        <v>24.716943120765791</v>
      </c>
      <c r="F78" s="61">
        <f t="shared" si="27"/>
        <v>0.99481884880348637</v>
      </c>
      <c r="G78" s="60">
        <f t="shared" si="21"/>
        <v>1.0009502795988994</v>
      </c>
      <c r="H78" s="61">
        <f t="shared" si="28"/>
        <v>3114.3142635307227</v>
      </c>
      <c r="I78" s="60">
        <f t="shared" si="22"/>
        <v>311.43142635307225</v>
      </c>
      <c r="J78" s="61">
        <f t="shared" si="29"/>
        <v>2.2655227153505977</v>
      </c>
      <c r="K78" s="60">
        <f t="shared" si="23"/>
        <v>7.4888763690332174E-3</v>
      </c>
      <c r="L78" s="61">
        <f t="shared" si="24"/>
        <v>1.2686687712665434E-3</v>
      </c>
      <c r="M78" s="60">
        <f t="shared" si="25"/>
        <v>3.503018056119904E-3</v>
      </c>
      <c r="N78" s="5"/>
    </row>
    <row r="79" spans="1:14" x14ac:dyDescent="0.25">
      <c r="A79" s="4">
        <v>69</v>
      </c>
      <c r="B79" s="59">
        <f t="shared" si="19"/>
        <v>27.6</v>
      </c>
      <c r="C79" s="60">
        <f t="shared" si="20"/>
        <v>4.4837426794401836E-2</v>
      </c>
      <c r="D79" s="61">
        <f t="shared" si="26"/>
        <v>1007.8449996845035</v>
      </c>
      <c r="E79" s="60">
        <f t="shared" si="30"/>
        <v>24.708556725836388</v>
      </c>
      <c r="F79" s="61">
        <f t="shared" si="27"/>
        <v>0.9946656794320291</v>
      </c>
      <c r="G79" s="60">
        <f t="shared" si="21"/>
        <v>1.0009784619833229</v>
      </c>
      <c r="H79" s="61">
        <f t="shared" si="28"/>
        <v>3112.7525351332492</v>
      </c>
      <c r="I79" s="60">
        <f t="shared" si="22"/>
        <v>311.27525351332491</v>
      </c>
      <c r="J79" s="61">
        <f t="shared" si="29"/>
        <v>2.2644503838331089</v>
      </c>
      <c r="K79" s="60">
        <f t="shared" si="23"/>
        <v>7.4872013354498066E-3</v>
      </c>
      <c r="L79" s="61">
        <f t="shared" si="24"/>
        <v>1.2679251599564841E-3</v>
      </c>
      <c r="M79" s="60">
        <f t="shared" si="25"/>
        <v>3.5020505981625165E-3</v>
      </c>
      <c r="N79" s="5"/>
    </row>
    <row r="80" spans="1:14" x14ac:dyDescent="0.25">
      <c r="A80" s="4">
        <v>70</v>
      </c>
      <c r="B80" s="59">
        <f t="shared" si="19"/>
        <v>28</v>
      </c>
      <c r="C80" s="60">
        <f t="shared" si="20"/>
        <v>4.6146476446665474E-2</v>
      </c>
      <c r="D80" s="61">
        <f t="shared" si="26"/>
        <v>1007.6875552578682</v>
      </c>
      <c r="E80" s="60">
        <f t="shared" si="30"/>
        <v>24.700047903096674</v>
      </c>
      <c r="F80" s="61">
        <f t="shared" si="27"/>
        <v>0.994510293864168</v>
      </c>
      <c r="G80" s="60">
        <f t="shared" si="21"/>
        <v>1.0010070574069569</v>
      </c>
      <c r="H80" s="61">
        <f t="shared" si="28"/>
        <v>3111.1687086715806</v>
      </c>
      <c r="I80" s="60">
        <f t="shared" si="22"/>
        <v>311.11687086715807</v>
      </c>
      <c r="J80" s="61">
        <f t="shared" si="29"/>
        <v>2.2633628460111761</v>
      </c>
      <c r="K80" s="60">
        <f t="shared" si="23"/>
        <v>7.4855021842620342E-3</v>
      </c>
      <c r="L80" s="61">
        <f t="shared" si="24"/>
        <v>1.2671710934103702E-3</v>
      </c>
      <c r="M80" s="60">
        <f t="shared" si="25"/>
        <v>3.5010693110689621E-3</v>
      </c>
      <c r="N80" s="5"/>
    </row>
    <row r="81" spans="1:14" x14ac:dyDescent="0.25">
      <c r="A81" s="4">
        <v>71</v>
      </c>
      <c r="B81" s="59">
        <f t="shared" si="19"/>
        <v>28.400000000000002</v>
      </c>
      <c r="C81" s="60">
        <f t="shared" si="20"/>
        <v>4.7474361139393295E-2</v>
      </c>
      <c r="D81" s="61">
        <f t="shared" si="26"/>
        <v>1007.5278661426161</v>
      </c>
      <c r="E81" s="60">
        <f t="shared" si="30"/>
        <v>24.691416652593944</v>
      </c>
      <c r="F81" s="61">
        <f t="shared" si="27"/>
        <v>0.99435269296088435</v>
      </c>
      <c r="G81" s="60">
        <f t="shared" si="21"/>
        <v>1.0010360659403055</v>
      </c>
      <c r="H81" s="61">
        <f t="shared" si="28"/>
        <v>3109.5628143449053</v>
      </c>
      <c r="I81" s="60">
        <f t="shared" si="22"/>
        <v>310.95628143449051</v>
      </c>
      <c r="J81" s="61">
        <f t="shared" si="29"/>
        <v>2.2622601212105118</v>
      </c>
      <c r="K81" s="60">
        <f t="shared" si="23"/>
        <v>7.4837789299948294E-3</v>
      </c>
      <c r="L81" s="61">
        <f t="shared" si="24"/>
        <v>1.2664065888428949E-3</v>
      </c>
      <c r="M81" s="60">
        <f t="shared" si="25"/>
        <v>3.5000742075350895E-3</v>
      </c>
      <c r="N81" s="5"/>
    </row>
    <row r="82" spans="1:14" x14ac:dyDescent="0.25">
      <c r="A82" s="4">
        <v>72</v>
      </c>
      <c r="B82" s="59">
        <f t="shared" si="19"/>
        <v>28.8</v>
      </c>
      <c r="C82" s="60">
        <f t="shared" si="20"/>
        <v>4.8821080863490351E-2</v>
      </c>
      <c r="D82" s="61">
        <f t="shared" si="26"/>
        <v>1007.3659332237489</v>
      </c>
      <c r="E82" s="60">
        <f t="shared" si="30"/>
        <v>24.682662974387313</v>
      </c>
      <c r="F82" s="61">
        <f t="shared" si="27"/>
        <v>0.99419287759560715</v>
      </c>
      <c r="G82" s="60">
        <f t="shared" si="21"/>
        <v>1.0010654876548579</v>
      </c>
      <c r="H82" s="61">
        <f t="shared" si="28"/>
        <v>3107.934882769488</v>
      </c>
      <c r="I82" s="60">
        <f t="shared" si="22"/>
        <v>310.79348827694884</v>
      </c>
      <c r="J82" s="61">
        <f t="shared" si="29"/>
        <v>2.2611422290249479</v>
      </c>
      <c r="K82" s="60">
        <f t="shared" si="23"/>
        <v>7.4820315873801793E-3</v>
      </c>
      <c r="L82" s="61">
        <f t="shared" si="24"/>
        <v>1.2656316637036033E-3</v>
      </c>
      <c r="M82" s="60">
        <f t="shared" si="25"/>
        <v>3.4990653004335136E-3</v>
      </c>
      <c r="N82" s="5"/>
    </row>
    <row r="83" spans="1:14" x14ac:dyDescent="0.25">
      <c r="A83" s="4">
        <v>73</v>
      </c>
      <c r="B83" s="59">
        <f t="shared" si="19"/>
        <v>29.200000000000003</v>
      </c>
      <c r="C83" s="60">
        <f t="shared" si="20"/>
        <v>5.0186635611680686E-2</v>
      </c>
      <c r="D83" s="61">
        <f t="shared" si="26"/>
        <v>1007.2017573984372</v>
      </c>
      <c r="E83" s="60">
        <f t="shared" si="30"/>
        <v>24.673786868524076</v>
      </c>
      <c r="F83" s="61">
        <f t="shared" si="27"/>
        <v>0.99403084865377467</v>
      </c>
      <c r="G83" s="60">
        <f t="shared" si="21"/>
        <v>1.0010953226231722</v>
      </c>
      <c r="H83" s="61">
        <f t="shared" si="28"/>
        <v>3106.2849449734472</v>
      </c>
      <c r="I83" s="60">
        <f t="shared" si="22"/>
        <v>310.62849449734472</v>
      </c>
      <c r="J83" s="61">
        <f t="shared" si="29"/>
        <v>2.2600091893129308</v>
      </c>
      <c r="K83" s="60">
        <f t="shared" si="23"/>
        <v>7.4802601713522777E-3</v>
      </c>
      <c r="L83" s="61">
        <f t="shared" si="24"/>
        <v>1.2648463356742211E-3</v>
      </c>
      <c r="M83" s="60">
        <f t="shared" si="25"/>
        <v>3.4980426028105999E-3</v>
      </c>
      <c r="N83" s="5"/>
    </row>
    <row r="84" spans="1:14" x14ac:dyDescent="0.25">
      <c r="A84" s="4">
        <v>74</v>
      </c>
      <c r="B84" s="59">
        <f t="shared" si="19"/>
        <v>29.6</v>
      </c>
      <c r="C84" s="60">
        <f t="shared" si="20"/>
        <v>5.1571025373050361E-2</v>
      </c>
      <c r="D84" s="61">
        <f t="shared" si="26"/>
        <v>1007.03533957667</v>
      </c>
      <c r="E84" s="60">
        <f t="shared" si="30"/>
        <v>24.664788335075173</v>
      </c>
      <c r="F84" s="61">
        <f t="shared" si="27"/>
        <v>0.99386660703347651</v>
      </c>
      <c r="G84" s="60">
        <f t="shared" si="21"/>
        <v>1.0011255709187539</v>
      </c>
      <c r="H84" s="61">
        <f t="shared" si="28"/>
        <v>3104.6130324025085</v>
      </c>
      <c r="I84" s="60">
        <f t="shared" si="22"/>
        <v>310.46130324025086</v>
      </c>
      <c r="J84" s="61">
        <f t="shared" si="29"/>
        <v>2.258861022201565</v>
      </c>
      <c r="K84" s="60">
        <f t="shared" si="23"/>
        <v>7.4784646970544027E-3</v>
      </c>
      <c r="L84" s="61">
        <f t="shared" si="24"/>
        <v>1.2640506226711974E-3</v>
      </c>
      <c r="M84" s="60">
        <f t="shared" si="25"/>
        <v>3.4970061278902401E-3</v>
      </c>
      <c r="N84" s="5"/>
    </row>
    <row r="85" spans="1:14" x14ac:dyDescent="0.25">
      <c r="A85" s="4">
        <v>75</v>
      </c>
      <c r="B85" s="59">
        <f t="shared" si="19"/>
        <v>30</v>
      </c>
      <c r="C85" s="60">
        <f t="shared" si="20"/>
        <v>5.297425014032342E-2</v>
      </c>
      <c r="D85" s="61">
        <f t="shared" si="26"/>
        <v>1006.8666806803739</v>
      </c>
      <c r="E85" s="60">
        <f t="shared" si="30"/>
        <v>24.655667374087898</v>
      </c>
      <c r="F85" s="61">
        <f t="shared" si="27"/>
        <v>0.99370015364458308</v>
      </c>
      <c r="G85" s="60">
        <f t="shared" si="21"/>
        <v>1.0011562326162167</v>
      </c>
      <c r="H85" s="61">
        <f t="shared" si="28"/>
        <v>3102.9191769103627</v>
      </c>
      <c r="I85" s="60">
        <f t="shared" si="22"/>
        <v>310.2919176910363</v>
      </c>
      <c r="J85" s="61">
        <f t="shared" si="29"/>
        <v>2.2576977480800733</v>
      </c>
      <c r="K85" s="60">
        <f t="shared" si="23"/>
        <v>7.4766451798293082E-3</v>
      </c>
      <c r="L85" s="61">
        <f t="shared" si="24"/>
        <v>1.26324454284092E-3</v>
      </c>
      <c r="M85" s="60">
        <f t="shared" si="25"/>
        <v>3.4959558890680915E-3</v>
      </c>
      <c r="N85" s="5"/>
    </row>
    <row r="86" spans="1:14" x14ac:dyDescent="0.25">
      <c r="A86" s="4">
        <v>76</v>
      </c>
      <c r="B86" s="59">
        <f t="shared" si="19"/>
        <v>30.400000000000002</v>
      </c>
      <c r="C86" s="60">
        <f t="shared" si="20"/>
        <v>5.4396309902585926E-2</v>
      </c>
      <c r="D86" s="61">
        <f t="shared" si="26"/>
        <v>1006.6957816442805</v>
      </c>
      <c r="E86" s="60">
        <f t="shared" si="30"/>
        <v>24.646423985633191</v>
      </c>
      <c r="F86" s="61">
        <f t="shared" si="27"/>
        <v>0.99353148940960323</v>
      </c>
      <c r="G86" s="60">
        <f t="shared" si="21"/>
        <v>1.0011873077911233</v>
      </c>
      <c r="H86" s="61">
        <f t="shared" si="28"/>
        <v>3101.2034107665954</v>
      </c>
      <c r="I86" s="60">
        <f t="shared" si="22"/>
        <v>310.12034107665954</v>
      </c>
      <c r="J86" s="61">
        <f t="shared" si="29"/>
        <v>2.256519387605334</v>
      </c>
      <c r="K86" s="60">
        <f t="shared" si="23"/>
        <v>7.4748016352284659E-3</v>
      </c>
      <c r="L86" s="61">
        <f t="shared" si="24"/>
        <v>1.2624281145632915E-3</v>
      </c>
      <c r="M86" s="60">
        <f t="shared" si="25"/>
        <v>3.4948918999167032E-3</v>
      </c>
      <c r="N86" s="5"/>
    </row>
    <row r="87" spans="1:14" x14ac:dyDescent="0.25">
      <c r="A87" s="4">
        <v>77</v>
      </c>
      <c r="B87" s="59">
        <f t="shared" si="19"/>
        <v>30.8</v>
      </c>
      <c r="C87" s="60">
        <f t="shared" si="20"/>
        <v>5.5837204650742933E-2</v>
      </c>
      <c r="D87" s="61">
        <f t="shared" si="26"/>
        <v>1006.5226434152647</v>
      </c>
      <c r="E87" s="60">
        <f t="shared" si="30"/>
        <v>24.637058169770171</v>
      </c>
      <c r="F87" s="61">
        <f t="shared" si="27"/>
        <v>0.99336061526302954</v>
      </c>
      <c r="G87" s="60">
        <f t="shared" si="21"/>
        <v>1.0012187965201056</v>
      </c>
      <c r="H87" s="61">
        <f t="shared" si="28"/>
        <v>3099.4657666492208</v>
      </c>
      <c r="I87" s="60">
        <f t="shared" si="22"/>
        <v>309.94657666492208</v>
      </c>
      <c r="J87" s="61">
        <f t="shared" si="29"/>
        <v>2.2553259616968413</v>
      </c>
      <c r="K87" s="60">
        <f t="shared" si="23"/>
        <v>7.4729340790048128E-3</v>
      </c>
      <c r="L87" s="61">
        <f t="shared" si="24"/>
        <v>1.2616013564479749E-3</v>
      </c>
      <c r="M87" s="60">
        <f t="shared" si="25"/>
        <v>3.4938141741811153E-3</v>
      </c>
      <c r="N87" s="5"/>
    </row>
    <row r="88" spans="1:14" x14ac:dyDescent="0.25">
      <c r="A88" s="4">
        <v>78</v>
      </c>
      <c r="B88" s="59">
        <f t="shared" si="19"/>
        <v>31.200000000000003</v>
      </c>
      <c r="C88" s="60">
        <f t="shared" si="20"/>
        <v>5.7296934373880504E-2</v>
      </c>
      <c r="D88" s="61">
        <f t="shared" si="26"/>
        <v>1006.3472669527749</v>
      </c>
      <c r="E88" s="60">
        <f t="shared" si="30"/>
        <v>24.627569926569777</v>
      </c>
      <c r="F88" s="61">
        <f t="shared" si="27"/>
        <v>0.99318753215176403</v>
      </c>
      <c r="G88" s="60">
        <f t="shared" si="21"/>
        <v>1.0012506988807857</v>
      </c>
      <c r="H88" s="61">
        <f t="shared" si="28"/>
        <v>3097.7062776481916</v>
      </c>
      <c r="I88" s="60">
        <f t="shared" si="22"/>
        <v>309.77062776481915</v>
      </c>
      <c r="J88" s="61">
        <f t="shared" si="29"/>
        <v>2.254117491539211</v>
      </c>
      <c r="K88" s="60">
        <f t="shared" si="23"/>
        <v>7.4710425271172845E-3</v>
      </c>
      <c r="L88" s="61">
        <f t="shared" si="24"/>
        <v>1.2607642873358653E-3</v>
      </c>
      <c r="M88" s="60">
        <f t="shared" si="25"/>
        <v>3.4927227257812599E-3</v>
      </c>
      <c r="N88" s="5"/>
    </row>
    <row r="89" spans="1:14" x14ac:dyDescent="0.25">
      <c r="A89" s="4">
        <v>79</v>
      </c>
      <c r="B89" s="59">
        <f t="shared" si="19"/>
        <v>31.6</v>
      </c>
      <c r="C89" s="60">
        <f t="shared" si="20"/>
        <v>5.877549906472268E-2</v>
      </c>
      <c r="D89" s="61">
        <f t="shared" si="26"/>
        <v>1006.1696532281703</v>
      </c>
      <c r="E89" s="60">
        <f t="shared" si="30"/>
        <v>24.617959256079303</v>
      </c>
      <c r="F89" s="61">
        <f t="shared" si="27"/>
        <v>0.99301224103446373</v>
      </c>
      <c r="G89" s="60">
        <f t="shared" si="21"/>
        <v>1.0012830149518945</v>
      </c>
      <c r="H89" s="61">
        <f t="shared" si="28"/>
        <v>3095.9249772579265</v>
      </c>
      <c r="I89" s="60">
        <f t="shared" si="22"/>
        <v>309.59249772579261</v>
      </c>
      <c r="J89" s="61">
        <f t="shared" si="29"/>
        <v>2.2528939985771355</v>
      </c>
      <c r="K89" s="60">
        <f t="shared" si="23"/>
        <v>7.4691269957235188E-3</v>
      </c>
      <c r="L89" s="61">
        <f t="shared" si="24"/>
        <v>1.2599169262953239E-3</v>
      </c>
      <c r="M89" s="60">
        <f t="shared" si="25"/>
        <v>3.4916175688075369E-3</v>
      </c>
      <c r="N89" s="5"/>
    </row>
    <row r="90" spans="1:14" x14ac:dyDescent="0.25">
      <c r="A90" s="4">
        <v>80</v>
      </c>
      <c r="B90" s="59">
        <f t="shared" si="19"/>
        <v>32</v>
      </c>
      <c r="C90" s="60">
        <f t="shared" si="20"/>
        <v>6.0272898710536538E-2</v>
      </c>
      <c r="D90" s="61">
        <f t="shared" si="26"/>
        <v>1005.9898032258072</v>
      </c>
      <c r="E90" s="60">
        <f t="shared" si="30"/>
        <v>24.608226158381513</v>
      </c>
      <c r="F90" s="61">
        <f t="shared" si="27"/>
        <v>0.99283474288261264</v>
      </c>
      <c r="G90" s="60">
        <f t="shared" si="21"/>
        <v>1.0013157448130756</v>
      </c>
      <c r="H90" s="61">
        <f t="shared" si="28"/>
        <v>3094.1218993873649</v>
      </c>
      <c r="I90" s="60">
        <f t="shared" si="22"/>
        <v>309.4121899387365</v>
      </c>
      <c r="J90" s="61">
        <f t="shared" si="29"/>
        <v>2.2516555045223865</v>
      </c>
      <c r="K90" s="60">
        <f t="shared" si="23"/>
        <v>7.4671875011914982E-3</v>
      </c>
      <c r="L90" s="61">
        <f t="shared" si="24"/>
        <v>1.2590592926267589E-3</v>
      </c>
      <c r="M90" s="60">
        <f t="shared" si="25"/>
        <v>3.4904987175273031E-3</v>
      </c>
      <c r="N90" s="5"/>
    </row>
    <row r="91" spans="1:14" x14ac:dyDescent="0.25">
      <c r="A91" s="4">
        <v>81</v>
      </c>
      <c r="B91" s="59">
        <f t="shared" si="19"/>
        <v>32.4</v>
      </c>
      <c r="C91" s="60">
        <f t="shared" si="20"/>
        <v>6.1789133305865107E-2</v>
      </c>
      <c r="D91" s="61">
        <f t="shared" si="26"/>
        <v>1005.8077179415021</v>
      </c>
      <c r="E91" s="60">
        <f t="shared" si="30"/>
        <v>24.598370633511877</v>
      </c>
      <c r="F91" s="61">
        <f t="shared" si="27"/>
        <v>0.99265503867900529</v>
      </c>
      <c r="G91" s="60">
        <f t="shared" si="21"/>
        <v>1.0013488885451618</v>
      </c>
      <c r="H91" s="61">
        <f t="shared" si="28"/>
        <v>3092.2970783437136</v>
      </c>
      <c r="I91" s="60">
        <f t="shared" si="22"/>
        <v>309.22970783437137</v>
      </c>
      <c r="J91" s="61">
        <f t="shared" si="29"/>
        <v>2.2504020313427415</v>
      </c>
      <c r="K91" s="60">
        <f t="shared" si="23"/>
        <v>7.4652240600828193E-3</v>
      </c>
      <c r="L91" s="61">
        <f t="shared" si="24"/>
        <v>1.2581914058546785E-3</v>
      </c>
      <c r="M91" s="60">
        <f t="shared" si="25"/>
        <v>3.4893661863749995E-3</v>
      </c>
      <c r="N91" s="5"/>
    </row>
    <row r="92" spans="1:14" x14ac:dyDescent="0.25">
      <c r="A92" s="4">
        <v>82</v>
      </c>
      <c r="B92" s="59">
        <f t="shared" si="19"/>
        <v>32.800000000000004</v>
      </c>
      <c r="C92" s="60">
        <f t="shared" si="20"/>
        <v>6.3324202836156473E-2</v>
      </c>
      <c r="D92" s="61">
        <f t="shared" si="26"/>
        <v>1005.6233983844911</v>
      </c>
      <c r="E92" s="60">
        <f t="shared" si="30"/>
        <v>24.588392681564983</v>
      </c>
      <c r="F92" s="61">
        <f t="shared" si="27"/>
        <v>0.99247312941968036</v>
      </c>
      <c r="G92" s="60">
        <f t="shared" si="21"/>
        <v>1.0013824462298191</v>
      </c>
      <c r="H92" s="61">
        <f t="shared" si="28"/>
        <v>3090.4505488512314</v>
      </c>
      <c r="I92" s="60">
        <f t="shared" si="22"/>
        <v>309.04505488512314</v>
      </c>
      <c r="J92" s="61">
        <f t="shared" si="29"/>
        <v>2.2491336012749867</v>
      </c>
      <c r="K92" s="60">
        <f t="shared" si="23"/>
        <v>7.463236689173711E-3</v>
      </c>
      <c r="L92" s="61">
        <f t="shared" si="24"/>
        <v>1.2573132857364203E-3</v>
      </c>
      <c r="M92" s="60">
        <f t="shared" si="25"/>
        <v>3.4882199899640524E-3</v>
      </c>
      <c r="N92" s="5"/>
    </row>
    <row r="93" spans="1:14" x14ac:dyDescent="0.25">
      <c r="A93" s="4">
        <v>83</v>
      </c>
      <c r="B93" s="59">
        <f t="shared" si="19"/>
        <v>33.200000000000003</v>
      </c>
      <c r="C93" s="60">
        <f t="shared" si="20"/>
        <v>6.487810729231569E-2</v>
      </c>
      <c r="D93" s="61">
        <f t="shared" si="26"/>
        <v>1005.4368455756751</v>
      </c>
      <c r="E93" s="60">
        <f t="shared" si="30"/>
        <v>24.578292302599948</v>
      </c>
      <c r="F93" s="61">
        <f t="shared" si="27"/>
        <v>0.99228901611218856</v>
      </c>
      <c r="G93" s="60">
        <f t="shared" si="21"/>
        <v>1.001416417949865</v>
      </c>
      <c r="H93" s="61">
        <f t="shared" si="28"/>
        <v>3088.5823460327715</v>
      </c>
      <c r="I93" s="60">
        <f t="shared" si="22"/>
        <v>308.85823460327714</v>
      </c>
      <c r="J93" s="61">
        <f t="shared" si="29"/>
        <v>2.2478502368123312</v>
      </c>
      <c r="K93" s="60">
        <f t="shared" si="23"/>
        <v>7.4612254054359931E-3</v>
      </c>
      <c r="L93" s="61">
        <f t="shared" si="24"/>
        <v>1.2564249522531515E-3</v>
      </c>
      <c r="M93" s="60">
        <f t="shared" si="25"/>
        <v>3.4870601430756578E-3</v>
      </c>
      <c r="N93" s="5"/>
    </row>
    <row r="94" spans="1:14" x14ac:dyDescent="0.25">
      <c r="A94" s="4">
        <v>84</v>
      </c>
      <c r="B94" s="59">
        <f t="shared" si="19"/>
        <v>33.6</v>
      </c>
      <c r="C94" s="60">
        <f t="shared" si="20"/>
        <v>6.6450846665247809E-2</v>
      </c>
      <c r="D94" s="61">
        <f t="shared" si="26"/>
        <v>1005.2480605482682</v>
      </c>
      <c r="E94" s="60">
        <f t="shared" si="30"/>
        <v>24.568069496675889</v>
      </c>
      <c r="F94" s="61">
        <f t="shared" si="27"/>
        <v>0.99210269977623311</v>
      </c>
      <c r="G94" s="60">
        <f t="shared" si="21"/>
        <v>1.0014508037891496</v>
      </c>
      <c r="H94" s="61">
        <f t="shared" si="28"/>
        <v>3086.6925054154071</v>
      </c>
      <c r="I94" s="60">
        <f t="shared" si="22"/>
        <v>308.66925054154069</v>
      </c>
      <c r="J94" s="61">
        <f t="shared" si="29"/>
        <v>2.2465519607083722</v>
      </c>
      <c r="K94" s="60">
        <f t="shared" si="23"/>
        <v>7.4591902260439363E-3</v>
      </c>
      <c r="L94" s="61">
        <f t="shared" si="24"/>
        <v>1.2555264256123319E-3</v>
      </c>
      <c r="M94" s="60">
        <f t="shared" si="25"/>
        <v>3.4858866606625074E-3</v>
      </c>
      <c r="N94" s="5"/>
    </row>
    <row r="95" spans="1:14" x14ac:dyDescent="0.25">
      <c r="A95" s="4">
        <v>85</v>
      </c>
      <c r="B95" s="59">
        <f t="shared" si="19"/>
        <v>34</v>
      </c>
      <c r="C95" s="60">
        <f t="shared" si="20"/>
        <v>6.8042420944038895E-2</v>
      </c>
      <c r="D95" s="61">
        <f t="shared" si="26"/>
        <v>1005.0570443480084</v>
      </c>
      <c r="E95" s="60">
        <f t="shared" si="30"/>
        <v>24.557724263863747</v>
      </c>
      <c r="F95" s="61">
        <f t="shared" si="27"/>
        <v>0.991914181443877</v>
      </c>
      <c r="G95" s="60">
        <f t="shared" si="21"/>
        <v>1.0014856038325168</v>
      </c>
      <c r="H95" s="61">
        <f t="shared" si="28"/>
        <v>3084.7810629316523</v>
      </c>
      <c r="I95" s="60">
        <f t="shared" si="22"/>
        <v>308.47810629316524</v>
      </c>
      <c r="J95" s="61">
        <f t="shared" si="29"/>
        <v>2.2452387959780289</v>
      </c>
      <c r="K95" s="60">
        <f t="shared" si="23"/>
        <v>7.4571311683764132E-3</v>
      </c>
      <c r="L95" s="61">
        <f t="shared" si="24"/>
        <v>1.2546177262480742E-3</v>
      </c>
      <c r="M95" s="60">
        <f t="shared" si="25"/>
        <v>3.484699557849795E-3</v>
      </c>
      <c r="N95" s="5"/>
    </row>
    <row r="96" spans="1:14" x14ac:dyDescent="0.25">
      <c r="A96" s="4">
        <v>86</v>
      </c>
      <c r="B96" s="59">
        <f t="shared" si="19"/>
        <v>34.4</v>
      </c>
      <c r="C96" s="60">
        <f t="shared" si="20"/>
        <v>6.9652830117775011E-2</v>
      </c>
      <c r="D96" s="61">
        <f t="shared" si="26"/>
        <v>1004.863798032932</v>
      </c>
      <c r="E96" s="60">
        <f t="shared" si="30"/>
        <v>24.547256604234462</v>
      </c>
      <c r="F96" s="61">
        <f t="shared" si="27"/>
        <v>0.99172346215932095</v>
      </c>
      <c r="G96" s="60">
        <f t="shared" si="21"/>
        <v>1.0015208181658437</v>
      </c>
      <c r="H96" s="61">
        <f t="shared" si="28"/>
        <v>3082.84805491631</v>
      </c>
      <c r="I96" s="60">
        <f t="shared" si="22"/>
        <v>308.284805491631</v>
      </c>
      <c r="J96" s="61">
        <f t="shared" si="29"/>
        <v>2.243910765895476</v>
      </c>
      <c r="K96" s="60">
        <f t="shared" si="23"/>
        <v>7.4550482500143301E-3</v>
      </c>
      <c r="L96" s="61">
        <f t="shared" si="24"/>
        <v>1.25369887481942E-3</v>
      </c>
      <c r="M96" s="60">
        <f t="shared" si="25"/>
        <v>3.4834988499335001E-3</v>
      </c>
      <c r="N96" s="5"/>
    </row>
    <row r="97" spans="1:14" x14ac:dyDescent="0.25">
      <c r="A97" s="4">
        <v>87</v>
      </c>
      <c r="B97" s="59">
        <f t="shared" si="19"/>
        <v>34.800000000000004</v>
      </c>
      <c r="C97" s="60">
        <f t="shared" si="20"/>
        <v>7.128207417554222E-2</v>
      </c>
      <c r="D97" s="61">
        <f t="shared" si="26"/>
        <v>1004.6683226733661</v>
      </c>
      <c r="E97" s="60">
        <f t="shared" si="30"/>
        <v>24.536666517858976</v>
      </c>
      <c r="F97" s="61">
        <f t="shared" si="27"/>
        <v>0.99153054297889576</v>
      </c>
      <c r="G97" s="60">
        <f t="shared" si="21"/>
        <v>1.0015564468760418</v>
      </c>
      <c r="H97" s="61">
        <f t="shared" si="28"/>
        <v>3080.8935181054849</v>
      </c>
      <c r="I97" s="60">
        <f t="shared" si="22"/>
        <v>308.08935181054846</v>
      </c>
      <c r="J97" s="61">
        <f t="shared" si="29"/>
        <v>2.2425678939935727</v>
      </c>
      <c r="K97" s="60">
        <f t="shared" si="23"/>
        <v>7.4529414887404147E-3</v>
      </c>
      <c r="L97" s="61">
        <f t="shared" si="24"/>
        <v>1.2527698922096514E-3</v>
      </c>
      <c r="M97" s="60">
        <f t="shared" si="25"/>
        <v>3.4822845523800267E-3</v>
      </c>
      <c r="N97" s="5"/>
    </row>
    <row r="98" spans="1:14" x14ac:dyDescent="0.25">
      <c r="A98" s="4">
        <v>88</v>
      </c>
      <c r="B98" s="59">
        <f t="shared" si="19"/>
        <v>35.200000000000003</v>
      </c>
      <c r="C98" s="60">
        <f t="shared" si="20"/>
        <v>7.2930153108245577E-2</v>
      </c>
      <c r="D98" s="61">
        <f t="shared" si="26"/>
        <v>1004.4706193517028</v>
      </c>
      <c r="E98" s="60">
        <f t="shared" si="30"/>
        <v>24.525954004796404</v>
      </c>
      <c r="F98" s="61">
        <f t="shared" si="27"/>
        <v>0.99133542497083915</v>
      </c>
      <c r="G98" s="60">
        <f t="shared" si="21"/>
        <v>1.0015924900510975</v>
      </c>
      <c r="H98" s="61">
        <f t="shared" si="28"/>
        <v>3078.9174896334171</v>
      </c>
      <c r="I98" s="60">
        <f t="shared" si="22"/>
        <v>307.89174896334168</v>
      </c>
      <c r="J98" s="61">
        <f t="shared" si="29"/>
        <v>2.2412102040617818</v>
      </c>
      <c r="K98" s="60">
        <f t="shared" si="23"/>
        <v>7.4508109025366673E-3</v>
      </c>
      <c r="L98" s="61">
        <f t="shared" si="24"/>
        <v>1.2518307995245568E-3</v>
      </c>
      <c r="M98" s="60">
        <f t="shared" si="25"/>
        <v>3.4810566808244898E-3</v>
      </c>
      <c r="N98" s="5"/>
    </row>
    <row r="99" spans="1:14" x14ac:dyDescent="0.25">
      <c r="A99" s="4">
        <v>89</v>
      </c>
      <c r="B99" s="59">
        <f t="shared" si="19"/>
        <v>35.6</v>
      </c>
      <c r="C99" s="60">
        <f t="shared" si="20"/>
        <v>7.4597066901333164E-2</v>
      </c>
      <c r="D99" s="61">
        <f t="shared" si="26"/>
        <v>1004.2706891632646</v>
      </c>
      <c r="E99" s="60">
        <f t="shared" si="30"/>
        <v>24.515119065141334</v>
      </c>
      <c r="F99" s="61">
        <f t="shared" si="27"/>
        <v>0.99113810921615064</v>
      </c>
      <c r="G99" s="60">
        <f t="shared" si="21"/>
        <v>1.001628947779913</v>
      </c>
      <c r="H99" s="61">
        <f t="shared" si="28"/>
        <v>3076.920007040198</v>
      </c>
      <c r="I99" s="60">
        <f t="shared" si="22"/>
        <v>307.69200070401979</v>
      </c>
      <c r="J99" s="61">
        <f t="shared" si="29"/>
        <v>2.239837720151578</v>
      </c>
      <c r="K99" s="60">
        <f t="shared" si="23"/>
        <v>7.4486565095935424E-3</v>
      </c>
      <c r="L99" s="61">
        <f t="shared" si="24"/>
        <v>1.2508816180958706E-3</v>
      </c>
      <c r="M99" s="60">
        <f t="shared" si="25"/>
        <v>3.479815251075765E-3</v>
      </c>
      <c r="N99" s="5"/>
    </row>
    <row r="100" spans="1:14" x14ac:dyDescent="0.25">
      <c r="A100" s="4">
        <v>90</v>
      </c>
      <c r="B100" s="59">
        <f t="shared" si="19"/>
        <v>36</v>
      </c>
      <c r="C100" s="60">
        <f t="shared" si="20"/>
        <v>7.6282815545710037E-2</v>
      </c>
      <c r="D100" s="61">
        <f t="shared" si="26"/>
        <v>1004.068533214987</v>
      </c>
      <c r="E100" s="60">
        <f t="shared" si="30"/>
        <v>24.504161698952885</v>
      </c>
      <c r="F100" s="61">
        <f t="shared" si="27"/>
        <v>0.99093859680729046</v>
      </c>
      <c r="G100" s="60">
        <f t="shared" si="21"/>
        <v>1.0016658201525455</v>
      </c>
      <c r="H100" s="61">
        <f t="shared" si="28"/>
        <v>3074.9011082576726</v>
      </c>
      <c r="I100" s="60">
        <f t="shared" si="22"/>
        <v>307.49011082576726</v>
      </c>
      <c r="J100" s="61">
        <f t="shared" si="29"/>
        <v>2.238450466566865</v>
      </c>
      <c r="K100" s="60">
        <f t="shared" si="23"/>
        <v>7.4464783282956115E-3</v>
      </c>
      <c r="L100" s="61">
        <f t="shared" si="24"/>
        <v>1.2499223694743414E-3</v>
      </c>
      <c r="M100" s="60">
        <f t="shared" si="25"/>
        <v>3.4785602791079814E-3</v>
      </c>
      <c r="N100" s="5"/>
    </row>
    <row r="101" spans="1:14" x14ac:dyDescent="0.25">
      <c r="A101" s="4">
        <v>91</v>
      </c>
      <c r="B101" s="59">
        <f t="shared" si="19"/>
        <v>36.4</v>
      </c>
      <c r="C101" s="60">
        <f t="shared" si="20"/>
        <v>7.7987399032281246E-2</v>
      </c>
      <c r="D101" s="61">
        <f t="shared" si="26"/>
        <v>1003.8641526260661</v>
      </c>
      <c r="E101" s="60">
        <f t="shared" si="30"/>
        <v>24.493081906290172</v>
      </c>
      <c r="F101" s="61">
        <f t="shared" si="27"/>
        <v>0.99073688884881927</v>
      </c>
      <c r="G101" s="60">
        <f t="shared" si="21"/>
        <v>1.0017031072600888</v>
      </c>
      <c r="H101" s="61">
        <f t="shared" si="28"/>
        <v>3072.860831614968</v>
      </c>
      <c r="I101" s="60">
        <f t="shared" si="22"/>
        <v>307.28608316149678</v>
      </c>
      <c r="J101" s="61">
        <f t="shared" si="29"/>
        <v>2.2370484678678753</v>
      </c>
      <c r="K101" s="60">
        <f t="shared" si="23"/>
        <v>7.4442763772284183E-3</v>
      </c>
      <c r="L101" s="61">
        <f t="shared" si="24"/>
        <v>1.2489530754321255E-3</v>
      </c>
      <c r="M101" s="60">
        <f t="shared" si="25"/>
        <v>3.4772917810642181E-3</v>
      </c>
      <c r="N101" s="5"/>
    </row>
    <row r="102" spans="1:14" x14ac:dyDescent="0.25">
      <c r="A102" s="4">
        <v>92</v>
      </c>
      <c r="B102" s="59">
        <f t="shared" si="19"/>
        <v>36.800000000000004</v>
      </c>
      <c r="C102" s="60">
        <f t="shared" si="20"/>
        <v>7.9710817346494878E-2</v>
      </c>
      <c r="D102" s="61">
        <f t="shared" si="26"/>
        <v>1003.6575485286041</v>
      </c>
      <c r="E102" s="60">
        <f t="shared" si="30"/>
        <v>24.481879687247783</v>
      </c>
      <c r="F102" s="61">
        <f t="shared" si="27"/>
        <v>0.99053298645803523</v>
      </c>
      <c r="G102" s="60">
        <f t="shared" si="21"/>
        <v>1.001740809194555</v>
      </c>
      <c r="H102" s="61">
        <f t="shared" si="28"/>
        <v>3070.7992158439797</v>
      </c>
      <c r="I102" s="60">
        <f t="shared" si="22"/>
        <v>307.07992158439794</v>
      </c>
      <c r="J102" s="61">
        <f t="shared" si="29"/>
        <v>2.2356317488750528</v>
      </c>
      <c r="K102" s="60">
        <f t="shared" si="23"/>
        <v>7.4420506751853013E-3</v>
      </c>
      <c r="L102" s="61">
        <f t="shared" si="24"/>
        <v>1.2479737579651625E-3</v>
      </c>
      <c r="M102" s="60">
        <f t="shared" si="25"/>
        <v>3.4760097732601859E-3</v>
      </c>
      <c r="N102" s="5"/>
    </row>
    <row r="103" spans="1:14" x14ac:dyDescent="0.25">
      <c r="A103" s="4">
        <v>93</v>
      </c>
      <c r="B103" s="59">
        <f t="shared" si="19"/>
        <v>37.200000000000003</v>
      </c>
      <c r="C103" s="60">
        <f t="shared" si="20"/>
        <v>8.1453070479255985E-2</v>
      </c>
      <c r="D103" s="61">
        <f t="shared" si="26"/>
        <v>1003.4487220662933</v>
      </c>
      <c r="E103" s="60">
        <f t="shared" si="30"/>
        <v>24.470555041884836</v>
      </c>
      <c r="F103" s="61">
        <f t="shared" si="27"/>
        <v>0.99032689076367453</v>
      </c>
      <c r="G103" s="60">
        <f t="shared" si="21"/>
        <v>1.0017789260491119</v>
      </c>
      <c r="H103" s="61">
        <f t="shared" si="28"/>
        <v>3068.7163000652704</v>
      </c>
      <c r="I103" s="60">
        <f t="shared" si="22"/>
        <v>306.87163000652703</v>
      </c>
      <c r="J103" s="61">
        <f t="shared" si="29"/>
        <v>2.234200334659465</v>
      </c>
      <c r="K103" s="60">
        <f t="shared" si="23"/>
        <v>7.43980124115305E-3</v>
      </c>
      <c r="L103" s="61">
        <f t="shared" si="24"/>
        <v>1.2469844392862318E-3</v>
      </c>
      <c r="M103" s="60">
        <f t="shared" si="25"/>
        <v>3.4747142721757128E-3</v>
      </c>
      <c r="N103" s="5"/>
    </row>
    <row r="104" spans="1:14" x14ac:dyDescent="0.25">
      <c r="A104" s="4">
        <v>94</v>
      </c>
      <c r="B104" s="59">
        <f t="shared" si="19"/>
        <v>37.6</v>
      </c>
      <c r="C104" s="60">
        <f t="shared" si="20"/>
        <v>8.3214158417831641E-2</v>
      </c>
      <c r="D104" s="61">
        <f t="shared" si="26"/>
        <v>1003.2376743954982</v>
      </c>
      <c r="E104" s="60">
        <f t="shared" si="30"/>
        <v>24.459107970284094</v>
      </c>
      <c r="F104" s="61">
        <f t="shared" si="27"/>
        <v>0.99011860290698073</v>
      </c>
      <c r="G104" s="60">
        <f t="shared" si="21"/>
        <v>1.0018174579178871</v>
      </c>
      <c r="H104" s="61">
        <f t="shared" si="28"/>
        <v>3066.6121237978919</v>
      </c>
      <c r="I104" s="60">
        <f t="shared" si="22"/>
        <v>306.66121237978916</v>
      </c>
      <c r="J104" s="61">
        <f t="shared" si="29"/>
        <v>2.2327542505496623</v>
      </c>
      <c r="K104" s="60">
        <f t="shared" si="23"/>
        <v>7.4375280943234593E-3</v>
      </c>
      <c r="L104" s="61">
        <f t="shared" si="24"/>
        <v>1.2459851418293829E-3</v>
      </c>
      <c r="M104" s="60">
        <f t="shared" si="25"/>
        <v>3.4734052944611371E-3</v>
      </c>
      <c r="N104" s="5"/>
    </row>
    <row r="105" spans="1:14" x14ac:dyDescent="0.25">
      <c r="A105" s="4">
        <v>95</v>
      </c>
      <c r="B105" s="59">
        <f t="shared" si="19"/>
        <v>38</v>
      </c>
      <c r="C105" s="60">
        <f t="shared" si="20"/>
        <v>8.499408114948892E-2</v>
      </c>
      <c r="D105" s="61">
        <f t="shared" si="26"/>
        <v>1003.0244066848112</v>
      </c>
      <c r="E105" s="60">
        <f t="shared" si="30"/>
        <v>24.447538472528322</v>
      </c>
      <c r="F105" s="61">
        <f t="shared" si="27"/>
        <v>0.98990812404126449</v>
      </c>
      <c r="G105" s="60">
        <f t="shared" si="21"/>
        <v>1.0018564048960461</v>
      </c>
      <c r="H105" s="61">
        <f t="shared" si="28"/>
        <v>3064.4867269539636</v>
      </c>
      <c r="I105" s="60">
        <f t="shared" si="22"/>
        <v>306.4486726953964</v>
      </c>
      <c r="J105" s="61">
        <f t="shared" si="29"/>
        <v>2.2312935221280599</v>
      </c>
      <c r="K105" s="60">
        <f t="shared" si="23"/>
        <v>7.4352312540883645E-3</v>
      </c>
      <c r="L105" s="61">
        <f t="shared" si="24"/>
        <v>1.2449758882471153E-3</v>
      </c>
      <c r="M105" s="60">
        <f t="shared" si="25"/>
        <v>3.4720828569341916E-3</v>
      </c>
      <c r="N105" s="5"/>
    </row>
    <row r="106" spans="1:14" x14ac:dyDescent="0.25">
      <c r="A106" s="4">
        <v>96</v>
      </c>
      <c r="B106" s="59">
        <f t="shared" si="19"/>
        <v>38.400000000000006</v>
      </c>
      <c r="C106" s="60">
        <f t="shared" si="20"/>
        <v>8.6792838663313887E-2</v>
      </c>
      <c r="D106" s="61">
        <f t="shared" si="26"/>
        <v>1002.8089201148263</v>
      </c>
      <c r="E106" s="60">
        <f t="shared" si="30"/>
        <v>24.43584654868846</v>
      </c>
      <c r="F106" s="61">
        <f t="shared" si="27"/>
        <v>0.98969545533168146</v>
      </c>
      <c r="G106" s="60">
        <f t="shared" si="21"/>
        <v>1.0018957670798341</v>
      </c>
      <c r="H106" s="61">
        <f t="shared" si="28"/>
        <v>3062.340149835431</v>
      </c>
      <c r="I106" s="60">
        <f t="shared" si="22"/>
        <v>306.23401498354309</v>
      </c>
      <c r="J106" s="61">
        <f t="shared" si="29"/>
        <v>2.2298181752288211</v>
      </c>
      <c r="K106" s="60">
        <f t="shared" si="23"/>
        <v>7.4329107400370907E-3</v>
      </c>
      <c r="L106" s="61">
        <f t="shared" si="24"/>
        <v>1.2439567014085968E-3</v>
      </c>
      <c r="M106" s="60">
        <f t="shared" si="25"/>
        <v>3.4707469765782751E-3</v>
      </c>
      <c r="N106" s="5"/>
    </row>
    <row r="107" spans="1:14" x14ac:dyDescent="0.25">
      <c r="A107" s="4">
        <v>97</v>
      </c>
      <c r="B107" s="59">
        <f t="shared" si="19"/>
        <v>38.800000000000004</v>
      </c>
      <c r="C107" s="60">
        <f t="shared" si="20"/>
        <v>8.8610430948392604E-2</v>
      </c>
      <c r="D107" s="61">
        <f t="shared" si="26"/>
        <v>1002.591215878349</v>
      </c>
      <c r="E107" s="60">
        <f t="shared" si="30"/>
        <v>24.424032198835448</v>
      </c>
      <c r="F107" s="61">
        <f t="shared" si="27"/>
        <v>0.98948059795543941</v>
      </c>
      <c r="G107" s="60">
        <f t="shared" si="21"/>
        <v>1.0019355445665357</v>
      </c>
      <c r="H107" s="61">
        <f t="shared" si="28"/>
        <v>3060.1724331351529</v>
      </c>
      <c r="I107" s="60">
        <f t="shared" si="22"/>
        <v>306.01724331351528</v>
      </c>
      <c r="J107" s="61">
        <f t="shared" si="29"/>
        <v>2.2283282359387182</v>
      </c>
      <c r="K107" s="60">
        <f t="shared" si="23"/>
        <v>7.4305665719585565E-3</v>
      </c>
      <c r="L107" s="61">
        <f t="shared" si="24"/>
        <v>1.2429276043999316E-3</v>
      </c>
      <c r="M107" s="60">
        <f t="shared" si="25"/>
        <v>3.469397670543395E-3</v>
      </c>
      <c r="N107" s="5"/>
    </row>
    <row r="108" spans="1:14" x14ac:dyDescent="0.25">
      <c r="A108" s="4">
        <v>98</v>
      </c>
      <c r="B108" s="59">
        <f t="shared" si="19"/>
        <v>39.200000000000003</v>
      </c>
      <c r="C108" s="60">
        <f t="shared" si="20"/>
        <v>9.0446857990173157E-2</v>
      </c>
      <c r="D108" s="61">
        <f t="shared" si="26"/>
        <v>1002.3712951808234</v>
      </c>
      <c r="E108" s="60">
        <f t="shared" si="30"/>
        <v>24.412095423063874</v>
      </c>
      <c r="F108" s="61">
        <f t="shared" si="27"/>
        <v>0.98926355310221903</v>
      </c>
      <c r="G108" s="60">
        <f t="shared" si="21"/>
        <v>1.0019757374543967</v>
      </c>
      <c r="H108" s="61">
        <f t="shared" si="28"/>
        <v>3057.9836179401332</v>
      </c>
      <c r="I108" s="60">
        <f t="shared" si="22"/>
        <v>305.79836179401332</v>
      </c>
      <c r="J108" s="61">
        <f t="shared" si="29"/>
        <v>2.2268237305994614</v>
      </c>
      <c r="K108" s="60">
        <f t="shared" si="23"/>
        <v>7.4281987698457189E-3</v>
      </c>
      <c r="L108" s="61">
        <f t="shared" si="24"/>
        <v>1.2418886205254468E-3</v>
      </c>
      <c r="M108" s="60">
        <f t="shared" si="25"/>
        <v>3.4680349561484664E-3</v>
      </c>
      <c r="N108" s="5"/>
    </row>
    <row r="109" spans="1:14" x14ac:dyDescent="0.25">
      <c r="A109" s="4">
        <v>99</v>
      </c>
      <c r="B109" s="59">
        <f t="shared" si="19"/>
        <v>39.6</v>
      </c>
      <c r="C109" s="60">
        <f t="shared" si="20"/>
        <v>9.2302119779560599E-2</v>
      </c>
      <c r="D109" s="61">
        <f t="shared" si="26"/>
        <v>1002.1491592392348</v>
      </c>
      <c r="E109" s="60">
        <f t="shared" si="30"/>
        <v>24.400036221432856</v>
      </c>
      <c r="F109" s="61">
        <f t="shared" si="27"/>
        <v>0.98904432197309133</v>
      </c>
      <c r="G109" s="60">
        <f t="shared" si="21"/>
        <v>1.0020163458428237</v>
      </c>
      <c r="H109" s="61">
        <f t="shared" si="28"/>
        <v>3055.7737457195758</v>
      </c>
      <c r="I109" s="60">
        <f t="shared" si="22"/>
        <v>305.57737457195759</v>
      </c>
      <c r="J109" s="61">
        <f t="shared" si="29"/>
        <v>2.2253046857996046</v>
      </c>
      <c r="K109" s="60">
        <f t="shared" si="23"/>
        <v>7.4258073538836311E-3</v>
      </c>
      <c r="L109" s="61">
        <f t="shared" si="24"/>
        <v>1.2408397733017714E-3</v>
      </c>
      <c r="M109" s="60">
        <f t="shared" si="25"/>
        <v>3.4666588508741611E-3</v>
      </c>
      <c r="N109" s="5"/>
    </row>
    <row r="110" spans="1:14" ht="15.75" thickBot="1" x14ac:dyDescent="0.3">
      <c r="A110" s="4">
        <v>100</v>
      </c>
      <c r="B110" s="63">
        <f t="shared" si="19"/>
        <v>40</v>
      </c>
      <c r="C110" s="64">
        <f t="shared" si="20"/>
        <v>9.4176216302003013E-2</v>
      </c>
      <c r="D110" s="65">
        <f t="shared" si="26"/>
        <v>1001.9248092834072</v>
      </c>
      <c r="E110" s="64">
        <f t="shared" si="30"/>
        <v>24.38785459403698</v>
      </c>
      <c r="F110" s="65">
        <f t="shared" si="27"/>
        <v>0.98882290578179832</v>
      </c>
      <c r="G110" s="64">
        <f t="shared" si="21"/>
        <v>1.0020573698321453</v>
      </c>
      <c r="H110" s="65">
        <f t="shared" si="28"/>
        <v>3053.5428583367775</v>
      </c>
      <c r="I110" s="64">
        <f t="shared" si="22"/>
        <v>305.35428583367775</v>
      </c>
      <c r="J110" s="65">
        <f t="shared" si="29"/>
        <v>2.2237711283828334</v>
      </c>
      <c r="K110" s="64">
        <f t="shared" si="23"/>
        <v>7.4233923444632479E-3</v>
      </c>
      <c r="L110" s="65">
        <f t="shared" si="24"/>
        <v>1.2397810864632247E-3</v>
      </c>
      <c r="M110" s="64">
        <f t="shared" si="25"/>
        <v>3.4652693723705892E-3</v>
      </c>
      <c r="N110" s="5"/>
    </row>
    <row r="111" spans="1:14" ht="15.75" thickTop="1" x14ac:dyDescent="0.25">
      <c r="A111" s="4"/>
      <c r="B111" s="5"/>
      <c r="C111" s="5"/>
      <c r="D111" s="124"/>
      <c r="E111" s="5"/>
      <c r="F111" s="5"/>
      <c r="G111" s="5"/>
      <c r="H111" s="130"/>
      <c r="I111" s="5"/>
      <c r="J111" s="5"/>
      <c r="K111" s="5"/>
      <c r="L111" s="5"/>
      <c r="M111" s="5"/>
      <c r="N111" s="5"/>
    </row>
  </sheetData>
  <sheetProtection password="E706" sheet="1" objects="1" scenarios="1" selectLockedCells="1"/>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4" zoomScale="115" zoomScaleNormal="115" workbookViewId="0">
      <selection activeCell="D13" sqref="D13:E13"/>
    </sheetView>
  </sheetViews>
  <sheetFormatPr defaultColWidth="0" defaultRowHeight="15" zeroHeight="1" x14ac:dyDescent="0.25"/>
  <cols>
    <col min="1" max="1" width="3.7109375" style="2" customWidth="1"/>
    <col min="2" max="5" width="20.7109375" style="2" customWidth="1"/>
    <col min="6" max="6" width="3.7109375" style="2" customWidth="1"/>
    <col min="7" max="16384" width="9.140625" style="2" hidden="1"/>
  </cols>
  <sheetData>
    <row r="1" spans="1:6" ht="15.75" thickBot="1" x14ac:dyDescent="0.3">
      <c r="A1" s="5"/>
      <c r="B1" s="5"/>
      <c r="C1" s="5"/>
      <c r="D1" s="5"/>
      <c r="E1" s="5"/>
      <c r="F1" s="5"/>
    </row>
    <row r="2" spans="1:6" ht="33" thickTop="1" thickBot="1" x14ac:dyDescent="0.3">
      <c r="A2" s="23"/>
      <c r="B2" s="198" t="s">
        <v>151</v>
      </c>
      <c r="C2" s="199"/>
      <c r="D2" s="199"/>
      <c r="E2" s="200"/>
      <c r="F2" s="6"/>
    </row>
    <row r="3" spans="1:6" ht="80.099999999999994" customHeight="1" thickTop="1" thickBot="1" x14ac:dyDescent="0.3">
      <c r="A3" s="4"/>
      <c r="B3" s="236" t="s">
        <v>137</v>
      </c>
      <c r="C3" s="237"/>
      <c r="D3" s="237"/>
      <c r="E3" s="238"/>
      <c r="F3" s="6"/>
    </row>
    <row r="4" spans="1:6" ht="16.5" thickTop="1" thickBot="1" x14ac:dyDescent="0.3">
      <c r="A4" s="5"/>
      <c r="B4" s="5"/>
      <c r="C4" s="5"/>
      <c r="D4" s="5"/>
      <c r="E4" s="5"/>
      <c r="F4" s="5"/>
    </row>
    <row r="5" spans="1:6" ht="16.5" customHeight="1" thickTop="1" thickBot="1" x14ac:dyDescent="0.3">
      <c r="A5" s="23"/>
      <c r="B5" s="167"/>
      <c r="C5" s="167"/>
      <c r="D5" s="168"/>
      <c r="E5" s="169"/>
      <c r="F5" s="5"/>
    </row>
    <row r="6" spans="1:6" ht="15.75" thickTop="1" x14ac:dyDescent="0.25">
      <c r="A6" s="4"/>
      <c r="B6" s="193" t="s">
        <v>131</v>
      </c>
      <c r="C6" s="194"/>
      <c r="D6" s="91">
        <v>24</v>
      </c>
      <c r="E6" s="138" t="s">
        <v>130</v>
      </c>
      <c r="F6" s="5"/>
    </row>
    <row r="7" spans="1:6" x14ac:dyDescent="0.25">
      <c r="A7" s="4"/>
      <c r="B7" s="183" t="s">
        <v>133</v>
      </c>
      <c r="C7" s="197"/>
      <c r="D7" s="142">
        <f>10*LOG(D6)</f>
        <v>13.80211241711606</v>
      </c>
      <c r="E7" s="38" t="s">
        <v>5</v>
      </c>
      <c r="F7" s="5"/>
    </row>
    <row r="8" spans="1:6" x14ac:dyDescent="0.25">
      <c r="A8" s="4"/>
      <c r="B8" s="183" t="s">
        <v>134</v>
      </c>
      <c r="C8" s="197"/>
      <c r="D8" s="152">
        <f>Hardware!D6*D6</f>
        <v>84000</v>
      </c>
      <c r="E8" s="38" t="s">
        <v>4</v>
      </c>
      <c r="F8" s="5"/>
    </row>
    <row r="9" spans="1:6" x14ac:dyDescent="0.25">
      <c r="A9" s="4"/>
      <c r="B9" s="183" t="s">
        <v>135</v>
      </c>
      <c r="C9" s="197"/>
      <c r="D9" s="11">
        <f>10*LOG(D6)</f>
        <v>13.80211241711606</v>
      </c>
      <c r="E9" s="17" t="s">
        <v>5</v>
      </c>
      <c r="F9" s="5"/>
    </row>
    <row r="10" spans="1:6" x14ac:dyDescent="0.25">
      <c r="A10" s="4"/>
      <c r="B10" s="183" t="s">
        <v>147</v>
      </c>
      <c r="C10" s="197"/>
      <c r="D10" s="13">
        <v>3</v>
      </c>
      <c r="E10" s="20" t="s">
        <v>5</v>
      </c>
      <c r="F10" s="5"/>
    </row>
    <row r="11" spans="1:6" x14ac:dyDescent="0.25">
      <c r="A11" s="4"/>
      <c r="B11" s="183" t="s">
        <v>136</v>
      </c>
      <c r="C11" s="197"/>
      <c r="D11" s="11">
        <f>10*LOG(D6)</f>
        <v>13.80211241711606</v>
      </c>
      <c r="E11" s="17" t="s">
        <v>5</v>
      </c>
      <c r="F11" s="5"/>
    </row>
    <row r="12" spans="1:6" x14ac:dyDescent="0.25">
      <c r="A12" s="4"/>
      <c r="B12" s="183" t="s">
        <v>146</v>
      </c>
      <c r="C12" s="197"/>
      <c r="D12" s="153">
        <v>3</v>
      </c>
      <c r="E12" s="18" t="s">
        <v>5</v>
      </c>
      <c r="F12" s="5"/>
    </row>
    <row r="13" spans="1:6" x14ac:dyDescent="0.25">
      <c r="A13" s="4"/>
      <c r="B13" s="183" t="s">
        <v>140</v>
      </c>
      <c r="C13" s="239"/>
      <c r="D13" s="176" t="s">
        <v>138</v>
      </c>
      <c r="E13" s="177"/>
      <c r="F13" s="5"/>
    </row>
    <row r="14" spans="1:6" x14ac:dyDescent="0.25">
      <c r="A14" s="4"/>
      <c r="B14" s="183" t="s">
        <v>139</v>
      </c>
      <c r="C14" s="197"/>
      <c r="D14" s="150">
        <f>IF(D13="Analog",0,IF(D13="Digital",10*LOG10(D6),"INVALID"))</f>
        <v>13.80211241711606</v>
      </c>
      <c r="E14" s="22" t="s">
        <v>5</v>
      </c>
      <c r="F14" s="5"/>
    </row>
    <row r="15" spans="1:6" x14ac:dyDescent="0.25">
      <c r="A15" s="4"/>
      <c r="B15" s="162" t="s">
        <v>141</v>
      </c>
      <c r="C15" s="163"/>
      <c r="D15" s="156">
        <v>10</v>
      </c>
      <c r="E15" s="136" t="s">
        <v>5</v>
      </c>
      <c r="F15" s="5"/>
    </row>
    <row r="16" spans="1:6" x14ac:dyDescent="0.25">
      <c r="A16" s="4"/>
      <c r="B16" s="162" t="s">
        <v>142</v>
      </c>
      <c r="C16" s="163"/>
      <c r="D16" s="230" t="s">
        <v>143</v>
      </c>
      <c r="E16" s="231"/>
      <c r="F16" s="72"/>
    </row>
    <row r="17" spans="1:6" ht="15.75" thickBot="1" x14ac:dyDescent="0.3">
      <c r="A17" s="4"/>
      <c r="B17" s="160" t="s">
        <v>144</v>
      </c>
      <c r="C17" s="161"/>
      <c r="D17" s="155">
        <f>IF(D16="Ideal",D14,IF(D16="Actual",D15,"INVALID"))</f>
        <v>13.80211241711606</v>
      </c>
      <c r="E17" s="154" t="s">
        <v>5</v>
      </c>
      <c r="F17" s="72"/>
    </row>
    <row r="18" spans="1:6" ht="16.5" thickTop="1" thickBot="1" x14ac:dyDescent="0.3">
      <c r="A18" s="4"/>
      <c r="B18" s="94"/>
      <c r="C18" s="83"/>
      <c r="D18" s="84"/>
      <c r="E18" s="4"/>
      <c r="F18" s="4"/>
    </row>
    <row r="19" spans="1:6" ht="16.5" customHeight="1" thickTop="1" thickBot="1" x14ac:dyDescent="0.3">
      <c r="A19" s="23"/>
      <c r="B19" s="166" t="str">
        <f>Calculations!B5</f>
        <v>Evaluation Criteria</v>
      </c>
      <c r="C19" s="167"/>
      <c r="D19" s="168"/>
      <c r="E19" s="169"/>
      <c r="F19" s="5"/>
    </row>
    <row r="20" spans="1:6" ht="15.75" thickTop="1" x14ac:dyDescent="0.25">
      <c r="A20" s="23"/>
      <c r="B20" s="184" t="str">
        <f>Calculations!B6</f>
        <v>Relative Humidity, RH</v>
      </c>
      <c r="C20" s="221"/>
      <c r="D20" s="140">
        <f>Calculations!D6</f>
        <v>10</v>
      </c>
      <c r="E20" s="38" t="str">
        <f>Calculations!E6</f>
        <v>%</v>
      </c>
      <c r="F20" s="5"/>
    </row>
    <row r="21" spans="1:6" x14ac:dyDescent="0.25">
      <c r="A21" s="23"/>
      <c r="B21" s="181" t="str">
        <f>Calculations!B7</f>
        <v>Temp at Sea Level, T₀</v>
      </c>
      <c r="C21" s="232"/>
      <c r="D21" s="141">
        <f>Calculations!D7</f>
        <v>25</v>
      </c>
      <c r="E21" s="39" t="str">
        <f>Calculations!E7</f>
        <v>°C</v>
      </c>
      <c r="F21" s="5"/>
    </row>
    <row r="22" spans="1:6" x14ac:dyDescent="0.25">
      <c r="A22" s="23"/>
      <c r="B22" s="183" t="str">
        <f>Calculations!B8</f>
        <v>El Angle, φ (For Attenuation Calculation)</v>
      </c>
      <c r="C22" s="232"/>
      <c r="D22" s="142">
        <f>Calculations!D8</f>
        <v>0</v>
      </c>
      <c r="E22" s="38" t="str">
        <f>Calculations!E8</f>
        <v>°</v>
      </c>
      <c r="F22" s="5"/>
    </row>
    <row r="23" spans="1:6" x14ac:dyDescent="0.25">
      <c r="A23" s="23"/>
      <c r="B23" s="183" t="str">
        <f>Calculations!B9</f>
        <v>Range, r</v>
      </c>
      <c r="C23" s="232"/>
      <c r="D23" s="141">
        <f>Calculations!D9</f>
        <v>40</v>
      </c>
      <c r="E23" s="38" t="str">
        <f>Calculations!E9</f>
        <v>km</v>
      </c>
      <c r="F23" s="5"/>
    </row>
    <row r="24" spans="1:6" ht="15.75" thickBot="1" x14ac:dyDescent="0.3">
      <c r="A24" s="23"/>
      <c r="B24" s="233" t="str">
        <f>Calculations!B10</f>
        <v>Minimum SNR</v>
      </c>
      <c r="C24" s="175"/>
      <c r="D24" s="143">
        <f>Calculations!D10</f>
        <v>0</v>
      </c>
      <c r="E24" s="44" t="str">
        <f>Calculations!E10</f>
        <v>dB</v>
      </c>
      <c r="F24" s="5"/>
    </row>
    <row r="25" spans="1:6" ht="16.5" thickTop="1" thickBot="1" x14ac:dyDescent="0.3">
      <c r="A25" s="23"/>
      <c r="B25" s="166" t="str">
        <f>Calculations!B11</f>
        <v>1km Sensitivity Calculation (No Integration or Attenuation)</v>
      </c>
      <c r="C25" s="167"/>
      <c r="D25" s="168"/>
      <c r="E25" s="169"/>
      <c r="F25" s="5"/>
    </row>
    <row r="26" spans="1:6" ht="15.75" thickTop="1" x14ac:dyDescent="0.25">
      <c r="A26" s="23"/>
      <c r="B26" s="164" t="str">
        <f>CONCATENATE(Calculations!B12," (Element)")</f>
        <v>Min dBz @ 1km (Element)</v>
      </c>
      <c r="C26" s="165"/>
      <c r="D26" s="139">
        <f>Calculations!D12</f>
        <v>9.7915853569797271</v>
      </c>
      <c r="E26" s="20" t="str">
        <f>Calculations!E12</f>
        <v>dBz @ 1km</v>
      </c>
      <c r="F26" s="5"/>
    </row>
    <row r="27" spans="1:6" ht="15.75" thickBot="1" x14ac:dyDescent="0.3">
      <c r="A27" s="23"/>
      <c r="B27" s="160" t="str">
        <f>CONCATENATE(Calculations!B12," (Array)")</f>
        <v>Min dBz @ 1km (Array)</v>
      </c>
      <c r="C27" s="161"/>
      <c r="D27" s="16">
        <f>D26-(D7+D9+D11+D17-D10-D12)</f>
        <v>-39.416864311484517</v>
      </c>
      <c r="E27" s="21" t="str">
        <f>Calculations!E12</f>
        <v>dBz @ 1km</v>
      </c>
      <c r="F27" s="5"/>
    </row>
    <row r="28" spans="1:6" ht="16.5" thickTop="1" thickBot="1" x14ac:dyDescent="0.3">
      <c r="A28" s="23"/>
      <c r="B28" s="166" t="str">
        <f>Calculations!B13</f>
        <v>1km Received Power Calculation (No Integration or Attenuation)</v>
      </c>
      <c r="C28" s="167"/>
      <c r="D28" s="168"/>
      <c r="E28" s="169"/>
      <c r="F28" s="5"/>
    </row>
    <row r="29" spans="1:6" ht="15.75" thickTop="1" x14ac:dyDescent="0.25">
      <c r="A29" s="23"/>
      <c r="B29" s="164" t="str">
        <f>Calculations!B14</f>
        <v>Reflectivity - From PSD</v>
      </c>
      <c r="C29" s="165"/>
      <c r="D29" s="144">
        <f>Calculations!D14</f>
        <v>-21.328339859828034</v>
      </c>
      <c r="E29" s="76" t="str">
        <f>Calculations!E14</f>
        <v>dBz</v>
      </c>
      <c r="F29" s="5"/>
    </row>
    <row r="30" spans="1:6" x14ac:dyDescent="0.25">
      <c r="A30" s="23"/>
      <c r="B30" s="162" t="str">
        <f>Calculations!B15</f>
        <v>Reflectivity - Custom</v>
      </c>
      <c r="C30" s="163"/>
      <c r="D30" s="10">
        <f>Calculations!D15</f>
        <v>70</v>
      </c>
      <c r="E30" s="20" t="str">
        <f>Calculations!E15</f>
        <v>dBz</v>
      </c>
      <c r="F30" s="5"/>
    </row>
    <row r="31" spans="1:6" x14ac:dyDescent="0.25">
      <c r="A31" s="23"/>
      <c r="B31" s="162" t="str">
        <f>Calculations!B16</f>
        <v>Reflectivity Specification</v>
      </c>
      <c r="C31" s="163"/>
      <c r="D31" s="234" t="str">
        <f>Calculations!D16</f>
        <v>Custom</v>
      </c>
      <c r="E31" s="235"/>
      <c r="F31" s="5"/>
    </row>
    <row r="32" spans="1:6" x14ac:dyDescent="0.25">
      <c r="A32" s="23"/>
      <c r="B32" s="183" t="str">
        <f>CONCATENATE(Calculations!B17," (Element)")</f>
        <v>Received Signal Power @ 1km (Element)</v>
      </c>
      <c r="C32" s="232"/>
      <c r="D32" s="11">
        <f>Calculations!D17</f>
        <v>-47.291585356979752</v>
      </c>
      <c r="E32" s="17" t="str">
        <f>Calculations!E17</f>
        <v>dBm</v>
      </c>
      <c r="F32" s="5"/>
    </row>
    <row r="33" spans="1:6" ht="15.75" thickBot="1" x14ac:dyDescent="0.3">
      <c r="A33" s="4"/>
      <c r="B33" s="174" t="str">
        <f>CONCATENATE(Calculations!B17," (Array)")</f>
        <v>Received Signal Power @ 1km (Array)</v>
      </c>
      <c r="C33" s="209"/>
      <c r="D33" s="16">
        <f>D32+(D7+D9+D11+D17-D10-D12)</f>
        <v>1.9168643114844883</v>
      </c>
      <c r="E33" s="46" t="str">
        <f>Calculations!E17</f>
        <v>dBm</v>
      </c>
      <c r="F33" s="5"/>
    </row>
    <row r="34" spans="1:6" ht="16.5" thickTop="1" thickBot="1" x14ac:dyDescent="0.3">
      <c r="A34" s="4"/>
      <c r="B34" s="4"/>
      <c r="C34" s="4"/>
      <c r="D34" s="7"/>
      <c r="E34" s="4"/>
      <c r="F34" s="4"/>
    </row>
    <row r="35" spans="1:6" ht="15.75" customHeight="1" thickTop="1" thickBot="1" x14ac:dyDescent="0.3">
      <c r="A35" s="4"/>
      <c r="B35" s="170" t="str">
        <f>Calculations!B19</f>
        <v>Calculated 
Performance</v>
      </c>
      <c r="C35" s="171"/>
      <c r="D35" s="74" t="str">
        <f>Calculations!D19</f>
        <v>Pulse Integration</v>
      </c>
      <c r="E35" s="123" t="str">
        <f>Calculations!E19</f>
        <v>Attenuation</v>
      </c>
      <c r="F35" s="5"/>
    </row>
    <row r="36" spans="1:6" ht="16.5" thickTop="1" thickBot="1" x14ac:dyDescent="0.3">
      <c r="A36" s="5"/>
      <c r="B36" s="172"/>
      <c r="C36" s="173"/>
      <c r="D36" s="145" t="str">
        <f>Calculations!D20</f>
        <v>DISABLED</v>
      </c>
      <c r="E36" s="146" t="str">
        <f>Calculations!E20</f>
        <v>DISABLED</v>
      </c>
      <c r="F36" s="72"/>
    </row>
    <row r="37" spans="1:6" ht="15.75" thickTop="1" x14ac:dyDescent="0.25">
      <c r="A37" s="5"/>
      <c r="B37" s="164" t="str">
        <f>Calculations!B21</f>
        <v>Total Attenuation @ 40.0km, α</v>
      </c>
      <c r="C37" s="165"/>
      <c r="D37" s="75">
        <f>Calculations!D21</f>
        <v>0</v>
      </c>
      <c r="E37" s="76" t="str">
        <f>Calculations!E21</f>
        <v>dB (2-Way)</v>
      </c>
      <c r="F37" s="5"/>
    </row>
    <row r="38" spans="1:6" ht="15.75" thickBot="1" x14ac:dyDescent="0.3">
      <c r="A38" s="5"/>
      <c r="B38" s="160" t="str">
        <f>CONCATENATE(Calculations!B22," (Full Array)")</f>
        <v>Sensitivity (Full Array)</v>
      </c>
      <c r="C38" s="161"/>
      <c r="D38" s="16">
        <f>IF(D36="ENABLED",10*LOG10(10^((D27+D37)/10)*D23^2)-Configuration!D32,IF(D36="DISABLED",10*LOG10(10^((D27+D37)/10)*D23^2),"INVALID"))</f>
        <v>-7.3756644849252755</v>
      </c>
      <c r="E38" s="21" t="str">
        <f>Calculations!E22</f>
        <v>dBz @ 40.0km</v>
      </c>
      <c r="F38" s="5"/>
    </row>
    <row r="39" spans="1:6" ht="15.75" thickTop="1" x14ac:dyDescent="0.25">
      <c r="A39" s="5"/>
      <c r="B39" s="162" t="str">
        <f>Calculations!B23</f>
        <v>Receive Power @ 40.0km</v>
      </c>
      <c r="C39" s="163"/>
      <c r="D39" s="11">
        <f>10*LOG10(10^((D33-D37)/10)/D23^2)</f>
        <v>-30.124335515074758</v>
      </c>
      <c r="E39" s="20" t="str">
        <f>Calculations!E23</f>
        <v>dBm</v>
      </c>
      <c r="F39" s="5"/>
    </row>
    <row r="40" spans="1:6" ht="15.75" thickBot="1" x14ac:dyDescent="0.3">
      <c r="A40" s="5"/>
      <c r="B40" s="160" t="str">
        <f>Calculations!B24</f>
        <v>Receive SNR</v>
      </c>
      <c r="C40" s="161"/>
      <c r="D40" s="16">
        <f>IF(D36="ENABLED",D39-(Configuration!D23+Hardware!D10)+Configuration!D32,IF(D36="DISABLED",D39-(Configuration!D23+Hardware!D10),"INVALID"))</f>
        <v>77.375664484925238</v>
      </c>
      <c r="E40" s="21" t="str">
        <f>Calculations!E24</f>
        <v>dB</v>
      </c>
      <c r="F40" s="5"/>
    </row>
    <row r="41" spans="1:6" ht="15.75" thickTop="1" x14ac:dyDescent="0.25">
      <c r="A41" s="5"/>
      <c r="B41" s="5"/>
      <c r="C41" s="5"/>
      <c r="D41" s="5"/>
      <c r="E41" s="5"/>
      <c r="F41" s="5"/>
    </row>
  </sheetData>
  <sheetProtection password="E706" sheet="1" objects="1" scenarios="1" selectLockedCells="1"/>
  <mergeCells count="38">
    <mergeCell ref="B14:C14"/>
    <mergeCell ref="B26:C26"/>
    <mergeCell ref="B29:C29"/>
    <mergeCell ref="B30:C30"/>
    <mergeCell ref="B12:C12"/>
    <mergeCell ref="B16:C16"/>
    <mergeCell ref="B2:E2"/>
    <mergeCell ref="B5:E5"/>
    <mergeCell ref="B6:C6"/>
    <mergeCell ref="B3:E3"/>
    <mergeCell ref="B25:E25"/>
    <mergeCell ref="B20:C20"/>
    <mergeCell ref="B9:C9"/>
    <mergeCell ref="B11:C11"/>
    <mergeCell ref="B15:C15"/>
    <mergeCell ref="B17:C17"/>
    <mergeCell ref="B19:E19"/>
    <mergeCell ref="B8:C8"/>
    <mergeCell ref="B13:C13"/>
    <mergeCell ref="D13:E13"/>
    <mergeCell ref="B10:C10"/>
    <mergeCell ref="B7:C7"/>
    <mergeCell ref="D16:E16"/>
    <mergeCell ref="B40:C40"/>
    <mergeCell ref="B39:C39"/>
    <mergeCell ref="B27:C27"/>
    <mergeCell ref="B21:C21"/>
    <mergeCell ref="B22:C22"/>
    <mergeCell ref="B23:C23"/>
    <mergeCell ref="B24:C24"/>
    <mergeCell ref="B28:E28"/>
    <mergeCell ref="D31:E31"/>
    <mergeCell ref="B37:C37"/>
    <mergeCell ref="B38:C38"/>
    <mergeCell ref="B32:C32"/>
    <mergeCell ref="B33:C33"/>
    <mergeCell ref="B35:C36"/>
    <mergeCell ref="B31:C31"/>
  </mergeCells>
  <dataValidations count="2">
    <dataValidation type="list" allowBlank="1" showInputMessage="1" showErrorMessage="1" sqref="D13:E13">
      <formula1>"Analog,Digital"</formula1>
    </dataValidation>
    <dataValidation type="list" allowBlank="1" showInputMessage="1" showErrorMessage="1" sqref="D16:E16">
      <formula1>"Ideal,Actual"</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zoomScale="115" zoomScaleNormal="115" workbookViewId="0">
      <selection activeCell="D7" sqref="D7"/>
    </sheetView>
  </sheetViews>
  <sheetFormatPr defaultColWidth="0" defaultRowHeight="15" zeroHeight="1" x14ac:dyDescent="0.25"/>
  <cols>
    <col min="1" max="1" width="3.7109375" style="2" customWidth="1"/>
    <col min="2" max="5" width="20.7109375" style="2" customWidth="1"/>
    <col min="6" max="6" width="3.7109375" style="2" customWidth="1"/>
    <col min="7" max="16384" width="9.140625" style="2" hidden="1"/>
  </cols>
  <sheetData>
    <row r="1" spans="1:6" ht="15.75" thickBot="1" x14ac:dyDescent="0.3">
      <c r="A1" s="5"/>
      <c r="B1" s="5"/>
      <c r="C1" s="5"/>
      <c r="D1" s="5"/>
      <c r="E1" s="5"/>
      <c r="F1" s="5"/>
    </row>
    <row r="2" spans="1:6" ht="33" thickTop="1" thickBot="1" x14ac:dyDescent="0.3">
      <c r="A2" s="23"/>
      <c r="B2" s="198" t="s">
        <v>150</v>
      </c>
      <c r="C2" s="199"/>
      <c r="D2" s="199"/>
      <c r="E2" s="200"/>
      <c r="F2" s="6"/>
    </row>
    <row r="3" spans="1:6" ht="80.099999999999994" customHeight="1" thickTop="1" thickBot="1" x14ac:dyDescent="0.3">
      <c r="A3" s="4"/>
      <c r="B3" s="236" t="s">
        <v>154</v>
      </c>
      <c r="C3" s="237"/>
      <c r="D3" s="237"/>
      <c r="E3" s="238"/>
      <c r="F3" s="6"/>
    </row>
    <row r="4" spans="1:6" ht="16.5" thickTop="1" thickBot="1" x14ac:dyDescent="0.3">
      <c r="A4" s="5"/>
      <c r="B4" s="5"/>
      <c r="C4" s="5"/>
      <c r="D4" s="5"/>
      <c r="E4" s="5"/>
      <c r="F4" s="5"/>
    </row>
    <row r="5" spans="1:6" ht="16.5" customHeight="1" thickTop="1" thickBot="1" x14ac:dyDescent="0.3">
      <c r="A5" s="23"/>
      <c r="B5" s="167"/>
      <c r="C5" s="167"/>
      <c r="D5" s="168"/>
      <c r="E5" s="169"/>
      <c r="F5" s="5"/>
    </row>
    <row r="6" spans="1:6" ht="15.75" thickTop="1" x14ac:dyDescent="0.25">
      <c r="A6" s="4"/>
      <c r="B6" s="193" t="s">
        <v>152</v>
      </c>
      <c r="C6" s="194"/>
      <c r="D6" s="91">
        <v>36</v>
      </c>
      <c r="E6" s="138" t="s">
        <v>130</v>
      </c>
      <c r="F6" s="5"/>
    </row>
    <row r="7" spans="1:6" x14ac:dyDescent="0.25">
      <c r="A7" s="4"/>
      <c r="B7" s="183" t="s">
        <v>153</v>
      </c>
      <c r="C7" s="197"/>
      <c r="D7" s="158">
        <v>25</v>
      </c>
      <c r="E7" s="157" t="s">
        <v>3</v>
      </c>
      <c r="F7" s="5"/>
    </row>
    <row r="8" spans="1:6" x14ac:dyDescent="0.25">
      <c r="A8" s="4"/>
      <c r="B8" s="183" t="s">
        <v>136</v>
      </c>
      <c r="C8" s="197"/>
      <c r="D8" s="11">
        <f>10*LOG(D6)</f>
        <v>15.563025007672874</v>
      </c>
      <c r="E8" s="17" t="s">
        <v>5</v>
      </c>
      <c r="F8" s="5"/>
    </row>
    <row r="9" spans="1:6" x14ac:dyDescent="0.25">
      <c r="A9" s="4"/>
      <c r="B9" s="183" t="s">
        <v>146</v>
      </c>
      <c r="C9" s="197"/>
      <c r="D9" s="153">
        <v>3</v>
      </c>
      <c r="E9" s="18" t="s">
        <v>5</v>
      </c>
      <c r="F9" s="5"/>
    </row>
    <row r="10" spans="1:6" x14ac:dyDescent="0.25">
      <c r="A10" s="4"/>
      <c r="B10" s="183" t="s">
        <v>139</v>
      </c>
      <c r="C10" s="197"/>
      <c r="D10" s="150">
        <f>10*LOG10(D6)</f>
        <v>15.563025007672874</v>
      </c>
      <c r="E10" s="17" t="s">
        <v>5</v>
      </c>
      <c r="F10" s="5"/>
    </row>
    <row r="11" spans="1:6" x14ac:dyDescent="0.25">
      <c r="A11" s="4"/>
      <c r="B11" s="162" t="s">
        <v>141</v>
      </c>
      <c r="C11" s="163"/>
      <c r="D11" s="156">
        <v>10</v>
      </c>
      <c r="E11" s="136" t="s">
        <v>5</v>
      </c>
      <c r="F11" s="5"/>
    </row>
    <row r="12" spans="1:6" x14ac:dyDescent="0.25">
      <c r="A12" s="4"/>
      <c r="B12" s="162" t="s">
        <v>142</v>
      </c>
      <c r="C12" s="163"/>
      <c r="D12" s="230" t="s">
        <v>143</v>
      </c>
      <c r="E12" s="231"/>
      <c r="F12" s="72"/>
    </row>
    <row r="13" spans="1:6" ht="15.75" thickBot="1" x14ac:dyDescent="0.3">
      <c r="A13" s="4"/>
      <c r="B13" s="160" t="s">
        <v>144</v>
      </c>
      <c r="C13" s="161"/>
      <c r="D13" s="155">
        <f>IF(D12="Ideal",D10,IF(D12="Actual",D11,"INVALID"))</f>
        <v>15.563025007672874</v>
      </c>
      <c r="E13" s="154" t="s">
        <v>5</v>
      </c>
      <c r="F13" s="72"/>
    </row>
    <row r="14" spans="1:6" ht="16.5" thickTop="1" thickBot="1" x14ac:dyDescent="0.3">
      <c r="A14" s="4"/>
      <c r="B14" s="94"/>
      <c r="C14" s="83"/>
      <c r="D14" s="84"/>
      <c r="E14" s="4"/>
      <c r="F14" s="4"/>
    </row>
    <row r="15" spans="1:6" ht="16.5" customHeight="1" thickTop="1" thickBot="1" x14ac:dyDescent="0.3">
      <c r="A15" s="23"/>
      <c r="B15" s="166" t="str">
        <f>Calculations!B5</f>
        <v>Evaluation Criteria</v>
      </c>
      <c r="C15" s="167"/>
      <c r="D15" s="168"/>
      <c r="E15" s="169"/>
      <c r="F15" s="5"/>
    </row>
    <row r="16" spans="1:6" ht="15.75" thickTop="1" x14ac:dyDescent="0.25">
      <c r="A16" s="23"/>
      <c r="B16" s="184" t="str">
        <f>Calculations!B6</f>
        <v>Relative Humidity, RH</v>
      </c>
      <c r="C16" s="221"/>
      <c r="D16" s="140">
        <f>Calculations!D6</f>
        <v>10</v>
      </c>
      <c r="E16" s="38" t="str">
        <f>Calculations!E6</f>
        <v>%</v>
      </c>
      <c r="F16" s="5"/>
    </row>
    <row r="17" spans="1:6" x14ac:dyDescent="0.25">
      <c r="A17" s="23"/>
      <c r="B17" s="181" t="str">
        <f>Calculations!B7</f>
        <v>Temp at Sea Level, T₀</v>
      </c>
      <c r="C17" s="232"/>
      <c r="D17" s="141">
        <f>Calculations!D7</f>
        <v>25</v>
      </c>
      <c r="E17" s="39" t="str">
        <f>Calculations!E7</f>
        <v>°C</v>
      </c>
      <c r="F17" s="5"/>
    </row>
    <row r="18" spans="1:6" x14ac:dyDescent="0.25">
      <c r="A18" s="23"/>
      <c r="B18" s="183" t="str">
        <f>Calculations!B8</f>
        <v>El Angle, φ (For Attenuation Calculation)</v>
      </c>
      <c r="C18" s="232"/>
      <c r="D18" s="142">
        <f>Calculations!D8</f>
        <v>0</v>
      </c>
      <c r="E18" s="38" t="str">
        <f>Calculations!E8</f>
        <v>°</v>
      </c>
      <c r="F18" s="5"/>
    </row>
    <row r="19" spans="1:6" x14ac:dyDescent="0.25">
      <c r="A19" s="23"/>
      <c r="B19" s="183" t="str">
        <f>Calculations!B9</f>
        <v>Range, r</v>
      </c>
      <c r="C19" s="232"/>
      <c r="D19" s="141">
        <f>Calculations!D9</f>
        <v>40</v>
      </c>
      <c r="E19" s="38" t="str">
        <f>Calculations!E9</f>
        <v>km</v>
      </c>
      <c r="F19" s="5"/>
    </row>
    <row r="20" spans="1:6" ht="15.75" thickBot="1" x14ac:dyDescent="0.3">
      <c r="A20" s="23"/>
      <c r="B20" s="233" t="str">
        <f>Calculations!B10</f>
        <v>Minimum SNR</v>
      </c>
      <c r="C20" s="175"/>
      <c r="D20" s="143">
        <f>Calculations!D10</f>
        <v>0</v>
      </c>
      <c r="E20" s="44" t="str">
        <f>Calculations!E10</f>
        <v>dB</v>
      </c>
      <c r="F20" s="5"/>
    </row>
    <row r="21" spans="1:6" ht="16.5" thickTop="1" thickBot="1" x14ac:dyDescent="0.3">
      <c r="A21" s="23"/>
      <c r="B21" s="166" t="str">
        <f>Calculations!B11</f>
        <v>1km Sensitivity Calculation (No Integration or Attenuation)</v>
      </c>
      <c r="C21" s="167"/>
      <c r="D21" s="168"/>
      <c r="E21" s="169"/>
      <c r="F21" s="5"/>
    </row>
    <row r="22" spans="1:6" ht="15.75" thickTop="1" x14ac:dyDescent="0.25">
      <c r="A22" s="23"/>
      <c r="B22" s="164" t="str">
        <f>CONCATENATE(Calculations!B12," (Element)")</f>
        <v>Min dBz @ 1km (Element)</v>
      </c>
      <c r="C22" s="165"/>
      <c r="D22" s="139">
        <f>Calculations!D12</f>
        <v>9.7915853569797271</v>
      </c>
      <c r="E22" s="20" t="str">
        <f>Calculations!E12</f>
        <v>dBz @ 1km</v>
      </c>
      <c r="F22" s="5"/>
    </row>
    <row r="23" spans="1:6" ht="15.75" thickBot="1" x14ac:dyDescent="0.3">
      <c r="A23" s="23"/>
      <c r="B23" s="160" t="str">
        <f>CONCATENATE(Calculations!B12," (Array)")</f>
        <v>Min dBz @ 1km (Array)</v>
      </c>
      <c r="C23" s="161"/>
      <c r="D23" s="16">
        <f>D22+Hardware!D23-(D7+D8+D13-D9)</f>
        <v>-18.334464658366031</v>
      </c>
      <c r="E23" s="21" t="str">
        <f>Calculations!E12</f>
        <v>dBz @ 1km</v>
      </c>
      <c r="F23" s="5"/>
    </row>
    <row r="24" spans="1:6" ht="16.5" thickTop="1" thickBot="1" x14ac:dyDescent="0.3">
      <c r="A24" s="23"/>
      <c r="B24" s="166" t="str">
        <f>Calculations!B13</f>
        <v>1km Received Power Calculation (No Integration or Attenuation)</v>
      </c>
      <c r="C24" s="167"/>
      <c r="D24" s="168"/>
      <c r="E24" s="169"/>
      <c r="F24" s="5"/>
    </row>
    <row r="25" spans="1:6" ht="15.75" thickTop="1" x14ac:dyDescent="0.25">
      <c r="A25" s="23"/>
      <c r="B25" s="164" t="str">
        <f>Calculations!B14</f>
        <v>Reflectivity - From PSD</v>
      </c>
      <c r="C25" s="165"/>
      <c r="D25" s="144">
        <f>Calculations!D14</f>
        <v>-21.328339859828034</v>
      </c>
      <c r="E25" s="76" t="str">
        <f>Calculations!E14</f>
        <v>dBz</v>
      </c>
      <c r="F25" s="5"/>
    </row>
    <row r="26" spans="1:6" x14ac:dyDescent="0.25">
      <c r="A26" s="23"/>
      <c r="B26" s="162" t="str">
        <f>Calculations!B15</f>
        <v>Reflectivity - Custom</v>
      </c>
      <c r="C26" s="163"/>
      <c r="D26" s="10">
        <f>Calculations!D15</f>
        <v>70</v>
      </c>
      <c r="E26" s="20" t="str">
        <f>Calculations!E15</f>
        <v>dBz</v>
      </c>
      <c r="F26" s="5"/>
    </row>
    <row r="27" spans="1:6" x14ac:dyDescent="0.25">
      <c r="A27" s="23"/>
      <c r="B27" s="162" t="str">
        <f>Calculations!B16</f>
        <v>Reflectivity Specification</v>
      </c>
      <c r="C27" s="163"/>
      <c r="D27" s="234" t="str">
        <f>Calculations!D16</f>
        <v>Custom</v>
      </c>
      <c r="E27" s="235"/>
      <c r="F27" s="5"/>
    </row>
    <row r="28" spans="1:6" x14ac:dyDescent="0.25">
      <c r="A28" s="23"/>
      <c r="B28" s="183" t="str">
        <f>CONCATENATE(Calculations!B17," (Element)")</f>
        <v>Received Signal Power @ 1km (Element)</v>
      </c>
      <c r="C28" s="232"/>
      <c r="D28" s="11">
        <f>Calculations!D17</f>
        <v>-47.291585356979752</v>
      </c>
      <c r="E28" s="17" t="str">
        <f>Calculations!E17</f>
        <v>dBm</v>
      </c>
      <c r="F28" s="5"/>
    </row>
    <row r="29" spans="1:6" ht="15.75" thickBot="1" x14ac:dyDescent="0.3">
      <c r="A29" s="4"/>
      <c r="B29" s="174" t="str">
        <f>CONCATENATE(Calculations!B17," (Array)")</f>
        <v>Received Signal Power @ 1km (Array)</v>
      </c>
      <c r="C29" s="209"/>
      <c r="D29" s="16">
        <f>D28-Hardware!D23+(D7+D8+D13-D9)</f>
        <v>-19.165535341633998</v>
      </c>
      <c r="E29" s="46" t="str">
        <f>Calculations!E17</f>
        <v>dBm</v>
      </c>
      <c r="F29" s="5"/>
    </row>
    <row r="30" spans="1:6" ht="16.5" thickTop="1" thickBot="1" x14ac:dyDescent="0.3">
      <c r="A30" s="4"/>
      <c r="B30" s="4"/>
      <c r="C30" s="4"/>
      <c r="D30" s="7"/>
      <c r="E30" s="4"/>
      <c r="F30" s="4"/>
    </row>
    <row r="31" spans="1:6" ht="15.75" customHeight="1" thickTop="1" thickBot="1" x14ac:dyDescent="0.3">
      <c r="A31" s="4"/>
      <c r="B31" s="170" t="str">
        <f>Calculations!B19</f>
        <v>Calculated 
Performance</v>
      </c>
      <c r="C31" s="171"/>
      <c r="D31" s="74" t="str">
        <f>Calculations!D19</f>
        <v>Pulse Integration</v>
      </c>
      <c r="E31" s="151" t="str">
        <f>Calculations!E19</f>
        <v>Attenuation</v>
      </c>
      <c r="F31" s="5"/>
    </row>
    <row r="32" spans="1:6" ht="16.5" thickTop="1" thickBot="1" x14ac:dyDescent="0.3">
      <c r="A32" s="5"/>
      <c r="B32" s="172"/>
      <c r="C32" s="173"/>
      <c r="D32" s="145" t="str">
        <f>Calculations!D20</f>
        <v>DISABLED</v>
      </c>
      <c r="E32" s="146" t="str">
        <f>Calculations!E20</f>
        <v>DISABLED</v>
      </c>
      <c r="F32" s="72"/>
    </row>
    <row r="33" spans="1:6" ht="15.75" thickTop="1" x14ac:dyDescent="0.25">
      <c r="A33" s="5"/>
      <c r="B33" s="164" t="str">
        <f>Calculations!B21</f>
        <v>Total Attenuation @ 40.0km, α</v>
      </c>
      <c r="C33" s="165"/>
      <c r="D33" s="75">
        <f>Calculations!D21</f>
        <v>0</v>
      </c>
      <c r="E33" s="76" t="str">
        <f>Calculations!E21</f>
        <v>dB (2-Way)</v>
      </c>
      <c r="F33" s="5"/>
    </row>
    <row r="34" spans="1:6" ht="15.75" thickBot="1" x14ac:dyDescent="0.3">
      <c r="A34" s="5"/>
      <c r="B34" s="160" t="str">
        <f>CONCATENATE(Calculations!B22," (Full Array)")</f>
        <v>Sensitivity (Full Array)</v>
      </c>
      <c r="C34" s="161"/>
      <c r="D34" s="16">
        <f>IF(D32="ENABLED",10*LOG10(10^((D23+D33)/10)*D19^2)-Configuration!D32,IF(D32="DISABLED",10*LOG10(10^((D23+D33)/10)*D19^2),"INVALID"))</f>
        <v>13.706735168193218</v>
      </c>
      <c r="E34" s="21" t="str">
        <f>Calculations!E22</f>
        <v>dBz @ 40.0km</v>
      </c>
      <c r="F34" s="5"/>
    </row>
    <row r="35" spans="1:6" ht="15.75" thickTop="1" x14ac:dyDescent="0.25">
      <c r="A35" s="5"/>
      <c r="B35" s="162" t="str">
        <f>Calculations!B23</f>
        <v>Receive Power @ 40.0km</v>
      </c>
      <c r="C35" s="163"/>
      <c r="D35" s="11">
        <f>10*LOG10(10^((D29-D33)/10)/D19^2)</f>
        <v>-51.206735168193241</v>
      </c>
      <c r="E35" s="20" t="str">
        <f>Calculations!E23</f>
        <v>dBm</v>
      </c>
      <c r="F35" s="5"/>
    </row>
    <row r="36" spans="1:6" ht="15.75" thickBot="1" x14ac:dyDescent="0.3">
      <c r="A36" s="5"/>
      <c r="B36" s="160" t="str">
        <f>Calculations!B24</f>
        <v>Receive SNR</v>
      </c>
      <c r="C36" s="161"/>
      <c r="D36" s="16">
        <f>IF(D32="ENABLED",D35-(Configuration!D23+Hardware!D10)+Configuration!D32,IF(D32="DISABLED",D35-(Configuration!D23+Hardware!D10),"INVALID"))</f>
        <v>56.293264831806759</v>
      </c>
      <c r="E36" s="21" t="str">
        <f>Calculations!E24</f>
        <v>dB</v>
      </c>
      <c r="F36" s="5"/>
    </row>
    <row r="37" spans="1:6" ht="15.75" thickTop="1" x14ac:dyDescent="0.25">
      <c r="A37" s="5"/>
      <c r="B37" s="5"/>
      <c r="C37" s="5"/>
      <c r="D37" s="5"/>
      <c r="E37" s="5"/>
      <c r="F37" s="5"/>
    </row>
    <row r="38" spans="1:6" hidden="1" x14ac:dyDescent="0.25"/>
    <row r="39" spans="1:6" hidden="1" x14ac:dyDescent="0.25"/>
    <row r="40" spans="1:6" hidden="1" x14ac:dyDescent="0.25"/>
    <row r="41" spans="1:6" hidden="1" x14ac:dyDescent="0.25"/>
  </sheetData>
  <sheetProtection password="E706" sheet="1" objects="1" scenarios="1" selectLockedCells="1"/>
  <mergeCells count="33">
    <mergeCell ref="B15:E15"/>
    <mergeCell ref="B8:C8"/>
    <mergeCell ref="B9:C9"/>
    <mergeCell ref="B2:E2"/>
    <mergeCell ref="B3:E3"/>
    <mergeCell ref="B5:E5"/>
    <mergeCell ref="B6:C6"/>
    <mergeCell ref="B7:C7"/>
    <mergeCell ref="B10:C10"/>
    <mergeCell ref="B11:C11"/>
    <mergeCell ref="B12:C12"/>
    <mergeCell ref="D12:E12"/>
    <mergeCell ref="B13:C13"/>
    <mergeCell ref="B27:C27"/>
    <mergeCell ref="D27:E27"/>
    <mergeCell ref="B16:C16"/>
    <mergeCell ref="B17:C17"/>
    <mergeCell ref="B18:C18"/>
    <mergeCell ref="B19:C19"/>
    <mergeCell ref="B20:C20"/>
    <mergeCell ref="B21:E21"/>
    <mergeCell ref="B22:C22"/>
    <mergeCell ref="B23:C23"/>
    <mergeCell ref="B24:E24"/>
    <mergeCell ref="B25:C25"/>
    <mergeCell ref="B26:C26"/>
    <mergeCell ref="B36:C36"/>
    <mergeCell ref="B28:C28"/>
    <mergeCell ref="B29:C29"/>
    <mergeCell ref="B31:C32"/>
    <mergeCell ref="B33:C33"/>
    <mergeCell ref="B34:C34"/>
    <mergeCell ref="B35:C35"/>
  </mergeCells>
  <dataValidations count="1">
    <dataValidation type="list" allowBlank="1" showInputMessage="1" showErrorMessage="1" sqref="D12:E12">
      <formula1>"Ideal,Actual"</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Calculations</vt:lpstr>
      <vt:lpstr>Hardware</vt:lpstr>
      <vt:lpstr>Configuration</vt:lpstr>
      <vt:lpstr>Particle</vt:lpstr>
      <vt:lpstr>Attenuation</vt:lpstr>
      <vt:lpstr>Phased-Array Radar</vt:lpstr>
      <vt:lpstr>Imaging Radar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Kelley, Redmond C.</dc:creator>
  <cp:lastModifiedBy>Kelley, Redmond C.</cp:lastModifiedBy>
  <cp:lastPrinted>2011-06-21T13:37:42Z</cp:lastPrinted>
  <dcterms:created xsi:type="dcterms:W3CDTF">2010-03-09T17:33:23Z</dcterms:created>
  <dcterms:modified xsi:type="dcterms:W3CDTF">2012-08-06T18:18:11Z</dcterms:modified>
</cp:coreProperties>
</file>